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Inputs" sheetId="2" r:id="rId2"/>
    <sheet name="Annual summary" sheetId="3" r:id="rId3"/>
    <sheet name="Funding and units" sheetId="4" r:id="rId4"/>
    <sheet name="low" sheetId="5" r:id="rId5"/>
    <sheet name="mid" sheetId="6" r:id="rId6"/>
    <sheet name="high" sheetId="7" r:id="rId7"/>
    <sheet name="Programme cadences" sheetId="8" r:id="rId8"/>
  </sheets>
  <calcPr calcId="124519" fullCalcOnLoad="1"/>
</workbook>
</file>

<file path=xl/sharedStrings.xml><?xml version="1.0" encoding="utf-8"?>
<sst xmlns="http://schemas.openxmlformats.org/spreadsheetml/2006/main" count="468" uniqueCount="238">
  <si>
    <t>USD enterprise scenario model; 36 operating months; pre-tax, pre-interest; no financing flows.</t>
  </si>
  <si>
    <t>Blue Inputs and monthly signing cells are editable. Recalculate workbook after edits; regenerate JSON/CSV/Markdown separately from assumptions.json.</t>
  </si>
  <si>
    <t>NEW programme signings per year; integer wins. Active and renewing cohorts are expected probability-weighted counts, not fractional legal contracts.</t>
  </si>
  <si>
    <t>One anchor signed M1. Other Y1 programme wins follow 6/9-month sales cycle. Two-month implementation before annual service term.</t>
  </si>
  <si>
    <t>Annual non-renewal at anniversary, no within-term churn. No automatic audit conversion or extra programme wins outside the signing plan.</t>
  </si>
  <si>
    <t>Quarterly advance invoices: initial quarter at signature, subsequent quarters from service month+3. Net60 receipts. Revenue monthly over service.</t>
  </si>
  <si>
    <t>Fieldwork cash paid one month before waves:41% first annual budget initially incl interviews; remaining59% over3waves, later years25% perquarter. Expense monthly; prepaid reconciled.</t>
  </si>
  <si>
    <t>Audit: 50% invoice signature, 50% delivery+2 months; costs paid 50/50 at signature/next month, WIP released on delivery.</t>
  </si>
  <si>
    <t>Research lead capacity: two programmes per lead, hired at signature before activation, integer headcount retained through horizon.</t>
  </si>
  <si>
    <t>Fixed platform build Y1 600/750/900k includes development infra/test model spend. Production AI and per-client engineering are additional explicit delivery costs.</t>
  </si>
  <si>
    <t>Licence revenue is incremental separate partner activity, proxied at 0/10/25% programme revenue from Y2; 25% delivery cost. No unsigned channel revenue is certain.</t>
  </si>
  <si>
    <t>Foundation sample per cell:240 sealed+160 development initially, then240+80. Three audiences/two markets. Larger Enterprise cadence priced separately.</t>
  </si>
  <si>
    <t>Funding deepest cumulative cash deficit or prelaunch floor, plus20%. Costs/hiring, fieldwork terms, prices and renewal are unvalidated assumptions.</t>
  </si>
  <si>
    <t>Pilot CSV isolates one600k annual anchor and two105k seven-cell audits over six operating months; not full annual contract economics.</t>
  </si>
  <si>
    <t>No EBITDA valuation, capex capitalization, tax, interest, bad debt or working-capital facility. M36 balances and commitments continue beyond horizon.</t>
  </si>
  <si>
    <t>Assumption</t>
  </si>
  <si>
    <t>Value</t>
  </si>
  <si>
    <t>months</t>
  </si>
  <si>
    <t>programme_activation_lag_months</t>
  </si>
  <si>
    <t>audit_delivery_lag_months</t>
  </si>
  <si>
    <t>cash_collection_lag_months</t>
  </si>
  <si>
    <t>programme_markets</t>
  </si>
  <si>
    <t>audiences_per_market</t>
  </si>
  <si>
    <t>research_lead_annual_usd</t>
  </si>
  <si>
    <t>programmes_per_research_lead</t>
  </si>
  <si>
    <t>reviewer_days_per_programme_year</t>
  </si>
  <si>
    <t>reviewer_day_usd</t>
  </si>
  <si>
    <t>delivery_engineering_fte_per_programme</t>
  </si>
  <si>
    <t>delivery_engineering_annual_usd</t>
  </si>
  <si>
    <t>client_management_fte_per_programme</t>
  </si>
  <si>
    <t>client_management_annual_usd</t>
  </si>
  <si>
    <t>programme_infrastructure_annual_usd</t>
  </si>
  <si>
    <t>model_change_fieldwork_reserve_fraction</t>
  </si>
  <si>
    <t>audit_completes_per_cell</t>
  </si>
  <si>
    <t>audit_fieldwork_usd</t>
  </si>
  <si>
    <t>audit_research_hours</t>
  </si>
  <si>
    <t>audit_research_hourly_usd</t>
  </si>
  <si>
    <t>audit_reviewer_days</t>
  </si>
  <si>
    <t>audit_ai_usd</t>
  </si>
  <si>
    <t>audit_infrastructure_usd</t>
  </si>
  <si>
    <t>audit_deposit_fraction</t>
  </si>
  <si>
    <t>licence_delivery_cost_fraction</t>
  </si>
  <si>
    <t>founder_annual_by_year_usd_Y1</t>
  </si>
  <si>
    <t>founder_annual_by_year_usd_Y2</t>
  </si>
  <si>
    <t>founder_annual_by_year_usd_Y3</t>
  </si>
  <si>
    <t>general_admin_annual_by_year_usd_Y1</t>
  </si>
  <si>
    <t>general_admin_annual_by_year_usd_Y2</t>
  </si>
  <si>
    <t>general_admin_annual_by_year_usd_Y3</t>
  </si>
  <si>
    <t>security_assurance_annual_by_year_usd_Y1</t>
  </si>
  <si>
    <t>security_assurance_annual_by_year_usd_Y2</t>
  </si>
  <si>
    <t>security_assurance_annual_by_year_usd_Y3</t>
  </si>
  <si>
    <t>channel_content_annual_by_year_usd_Y1</t>
  </si>
  <si>
    <t>channel_content_annual_by_year_usd_Y2</t>
  </si>
  <si>
    <t>channel_content_annual_by_year_usd_Y3</t>
  </si>
  <si>
    <t>commercial_annual_per_fte_usd</t>
  </si>
  <si>
    <t>commercial_weighted_wins_per_fte</t>
  </si>
  <si>
    <t>programme_acquisition_usd</t>
  </si>
  <si>
    <t>audit_acquisition_usd</t>
  </si>
  <si>
    <t>prelaunch_usd</t>
  </si>
  <si>
    <t>funding_contingency</t>
  </si>
  <si>
    <t>pilot_acv_usd</t>
  </si>
  <si>
    <t>audit_cells_per_engagement</t>
  </si>
  <si>
    <t>first_wave_development_per_cell</t>
  </si>
  <si>
    <t>refresh_development_per_cell</t>
  </si>
  <si>
    <t>sealed_per_cell</t>
  </si>
  <si>
    <t>cadence_complete_usd</t>
  </si>
  <si>
    <t>cadence_interview_usd</t>
  </si>
  <si>
    <t>initial_interviews_per_cell</t>
  </si>
  <si>
    <t>initial_wave_fieldwork_fraction</t>
  </si>
  <si>
    <t>low_programme_acv_usd</t>
  </si>
  <si>
    <t>low_audit_price_usd</t>
  </si>
  <si>
    <t>low_programme_fieldwork_annual_usd</t>
  </si>
  <si>
    <t>low_programme_ai_annual_usd</t>
  </si>
  <si>
    <t>low_annual_churn</t>
  </si>
  <si>
    <t>low_sales_cycle_months</t>
  </si>
  <si>
    <t>low_licence_revenue_fraction_from_y2</t>
  </si>
  <si>
    <t>low_platform_build_annual_by_year_usd_Y1</t>
  </si>
  <si>
    <t>low_platform_build_annual_by_year_usd_Y2</t>
  </si>
  <si>
    <t>low_platform_build_annual_by_year_usd_Y3</t>
  </si>
  <si>
    <t>mid_programme_acv_usd</t>
  </si>
  <si>
    <t>mid_audit_price_usd</t>
  </si>
  <si>
    <t>mid_programme_fieldwork_annual_usd</t>
  </si>
  <si>
    <t>mid_programme_ai_annual_usd</t>
  </si>
  <si>
    <t>mid_annual_churn</t>
  </si>
  <si>
    <t>mid_sales_cycle_months</t>
  </si>
  <si>
    <t>mid_licence_revenue_fraction_from_y2</t>
  </si>
  <si>
    <t>mid_platform_build_annual_by_year_usd_Y1</t>
  </si>
  <si>
    <t>mid_platform_build_annual_by_year_usd_Y2</t>
  </si>
  <si>
    <t>mid_platform_build_annual_by_year_usd_Y3</t>
  </si>
  <si>
    <t>high_programme_acv_usd</t>
  </si>
  <si>
    <t>high_audit_price_usd</t>
  </si>
  <si>
    <t>high_programme_fieldwork_annual_usd</t>
  </si>
  <si>
    <t>high_programme_ai_annual_usd</t>
  </si>
  <si>
    <t>high_annual_churn</t>
  </si>
  <si>
    <t>high_sales_cycle_months</t>
  </si>
  <si>
    <t>high_licence_revenue_fraction_from_y2</t>
  </si>
  <si>
    <t>high_platform_build_annual_by_year_usd_Y1</t>
  </si>
  <si>
    <t>high_platform_build_annual_by_year_usd_Y2</t>
  </si>
  <si>
    <t>high_platform_build_annual_by_year_usd_Y3</t>
  </si>
  <si>
    <t>case</t>
  </si>
  <si>
    <t>year</t>
  </si>
  <si>
    <t>programmes_signed</t>
  </si>
  <si>
    <t>audits_signed</t>
  </si>
  <si>
    <t>programme_starts</t>
  </si>
  <si>
    <t>audits_delivered</t>
  </si>
  <si>
    <t>programme_revenue</t>
  </si>
  <si>
    <t>audit_revenue</t>
  </si>
  <si>
    <t>licence_revenue</t>
  </si>
  <si>
    <t>revenue</t>
  </si>
  <si>
    <t>cogs</t>
  </si>
  <si>
    <t>gross_profit</t>
  </si>
  <si>
    <t>opex</t>
  </si>
  <si>
    <t>ebitda</t>
  </si>
  <si>
    <t>net_cash</t>
  </si>
  <si>
    <t>human_completes</t>
  </si>
  <si>
    <t>gross_margin</t>
  </si>
  <si>
    <t>ebitda_margin</t>
  </si>
  <si>
    <t>exit_active</t>
  </si>
  <si>
    <t>exit_arr</t>
  </si>
  <si>
    <t>closing_cash</t>
  </si>
  <si>
    <t>closing_ar</t>
  </si>
  <si>
    <t>closing_deferred</t>
  </si>
  <si>
    <t>closing_prepaid</t>
  </si>
  <si>
    <t>closing_wip</t>
  </si>
  <si>
    <t>peak_research_leads</t>
  </si>
  <si>
    <t>peak_delivery_engineering_fte</t>
  </si>
  <si>
    <t>peak_client_management_fte</t>
  </si>
  <si>
    <t>funding_with_contingency</t>
  </si>
  <si>
    <t>mature_programme_direct_cost</t>
  </si>
  <si>
    <t>mature_programme_gross_margin</t>
  </si>
  <si>
    <t>audit_direct_cost</t>
  </si>
  <si>
    <t>audit_gross_margin</t>
  </si>
  <si>
    <t>price_for_60pct_mature_margin</t>
  </si>
  <si>
    <t>month</t>
  </si>
  <si>
    <t>calendar_month</t>
  </si>
  <si>
    <t>renewal_due</t>
  </si>
  <si>
    <t>renewed</t>
  </si>
  <si>
    <t>churned</t>
  </si>
  <si>
    <t>active_programmes</t>
  </si>
  <si>
    <t>pending_programmes</t>
  </si>
  <si>
    <t>quarterly_renewal_units</t>
  </si>
  <si>
    <t>fieldwork_wave_units</t>
  </si>
  <si>
    <t>next_month_wave_units</t>
  </si>
  <si>
    <t>next_initial_wave_units</t>
  </si>
  <si>
    <t>next_first_year_refresh_units</t>
  </si>
  <si>
    <t>next_renewal_wave_units</t>
  </si>
  <si>
    <t>fieldwork_cogs</t>
  </si>
  <si>
    <t>programme_nonfield_cogs</t>
  </si>
  <si>
    <t>research_leads</t>
  </si>
  <si>
    <t>research_payroll</t>
  </si>
  <si>
    <t>programme_cogs</t>
  </si>
  <si>
    <t>audit_cogs</t>
  </si>
  <si>
    <t>licence_cogs</t>
  </si>
  <si>
    <t>founder_compensation</t>
  </si>
  <si>
    <t>platform_build</t>
  </si>
  <si>
    <t>general_admin</t>
  </si>
  <si>
    <t>security_assurance</t>
  </si>
  <si>
    <t>channel_content</t>
  </si>
  <si>
    <t>commercial_fte</t>
  </si>
  <si>
    <t>commercial_payroll</t>
  </si>
  <si>
    <t>acquisition</t>
  </si>
  <si>
    <t>prelaunch_expense</t>
  </si>
  <si>
    <t>programme_invoices</t>
  </si>
  <si>
    <t>audit_invoices</t>
  </si>
  <si>
    <t>invoices</t>
  </si>
  <si>
    <t>cash_receipts</t>
  </si>
  <si>
    <t>fieldwork_cash</t>
  </si>
  <si>
    <t>audit_cash</t>
  </si>
  <si>
    <t>cash_payments</t>
  </si>
  <si>
    <t>cumulative_cash</t>
  </si>
  <si>
    <t>closing_fieldwork_prepaid</t>
  </si>
  <si>
    <t>closing_audit_wip</t>
  </si>
  <si>
    <t>research_required_fte</t>
  </si>
  <si>
    <t>delivery_engineering_fte</t>
  </si>
  <si>
    <t>client_management_fte</t>
  </si>
  <si>
    <t>reviewer_days</t>
  </si>
  <si>
    <t>2026-11</t>
  </si>
  <si>
    <t>2026-12</t>
  </si>
  <si>
    <t>2027-01</t>
  </si>
  <si>
    <t>2027-02</t>
  </si>
  <si>
    <t>2027-03</t>
  </si>
  <si>
    <t>2027-04</t>
  </si>
  <si>
    <t>2027-05</t>
  </si>
  <si>
    <t>2027-06</t>
  </si>
  <si>
    <t>2027-07</t>
  </si>
  <si>
    <t>2027-08</t>
  </si>
  <si>
    <t>2027-09</t>
  </si>
  <si>
    <t>2027-10</t>
  </si>
  <si>
    <t>2027-11</t>
  </si>
  <si>
    <t>2027-12</t>
  </si>
  <si>
    <t>2028-01</t>
  </si>
  <si>
    <t>2028-02</t>
  </si>
  <si>
    <t>2028-03</t>
  </si>
  <si>
    <t>2028-04</t>
  </si>
  <si>
    <t>2028-05</t>
  </si>
  <si>
    <t>2028-06</t>
  </si>
  <si>
    <t>2028-07</t>
  </si>
  <si>
    <t>2028-08</t>
  </si>
  <si>
    <t>2028-09</t>
  </si>
  <si>
    <t>2028-10</t>
  </si>
  <si>
    <t>2028-11</t>
  </si>
  <si>
    <t>2028-12</t>
  </si>
  <si>
    <t>2029-01</t>
  </si>
  <si>
    <t>2029-02</t>
  </si>
  <si>
    <t>2029-03</t>
  </si>
  <si>
    <t>2029-04</t>
  </si>
  <si>
    <t>2029-05</t>
  </si>
  <si>
    <t>2029-06</t>
  </si>
  <si>
    <t>2029-07</t>
  </si>
  <si>
    <t>2029-08</t>
  </si>
  <si>
    <t>2029-09</t>
  </si>
  <si>
    <t>2029-10</t>
  </si>
  <si>
    <t>low</t>
  </si>
  <si>
    <t>mid</t>
  </si>
  <si>
    <t>high</t>
  </si>
  <si>
    <t>offer</t>
  </si>
  <si>
    <t>first_contract_year</t>
  </si>
  <si>
    <t>markets</t>
  </si>
  <si>
    <t>full_waves</t>
  </si>
  <si>
    <t>pulse_months</t>
  </si>
  <si>
    <t>price</t>
  </si>
  <si>
    <t>research_fte</t>
  </si>
  <si>
    <t>engineering_fte</t>
  </si>
  <si>
    <t>client_fte</t>
  </si>
  <si>
    <t>ai</t>
  </si>
  <si>
    <t>infrastructure</t>
  </si>
  <si>
    <t>completes</t>
  </si>
  <si>
    <t>interviews</t>
  </si>
  <si>
    <t>fieldwork</t>
  </si>
  <si>
    <t>direct_cost</t>
  </si>
  <si>
    <t>price_for_55pct</t>
  </si>
  <si>
    <t>price_for_60pct</t>
  </si>
  <si>
    <t>price_for_65pct</t>
  </si>
  <si>
    <t>Foundation</t>
  </si>
  <si>
    <t>Enterprise semiannual 1.2m</t>
  </si>
  <si>
    <t>Enterprise semiannual 1.5m</t>
  </si>
  <si>
    <t>Enterprise quarterly 1.2m</t>
  </si>
  <si>
    <t>Enterprise quarterly 1.5m</t>
  </si>
</sst>
</file>

<file path=xl/styles.xml><?xml version="1.0" encoding="utf-8"?>
<styleSheet xmlns="http://schemas.openxmlformats.org/spreadsheetml/2006/main">
  <numFmts count="2">
    <numFmt numFmtId="164" formatCode="0.00"/>
    <numFmt numFmtId="165" formatCode="#,##0;[Red](#,##0)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wrapText="1"/>
    </xf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5"/>
  <sheetViews>
    <sheetView tabSelected="1" workbookViewId="0"/>
  </sheetViews>
  <sheetFormatPr defaultRowHeight="15"/>
  <cols>
    <col min="1" max="1" width="145.710937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3"/>
  <sheetViews>
    <sheetView workbookViewId="0"/>
  </sheetViews>
  <sheetFormatPr defaultRowHeight="15"/>
  <cols>
    <col min="1" max="1" width="60.7109375" customWidth="1"/>
    <col min="2" max="2" width="22.7109375" customWidth="1"/>
  </cols>
  <sheetData>
    <row r="1" spans="1:2">
      <c r="A1" s="1" t="s">
        <v>15</v>
      </c>
      <c r="B1" s="1" t="s">
        <v>16</v>
      </c>
    </row>
    <row r="2" spans="1:2">
      <c r="A2" t="s">
        <v>17</v>
      </c>
      <c r="B2" s="2">
        <v>36</v>
      </c>
    </row>
    <row r="3" spans="1:2">
      <c r="A3" t="s">
        <v>18</v>
      </c>
      <c r="B3" s="2">
        <v>2</v>
      </c>
    </row>
    <row r="4" spans="1:2">
      <c r="A4" t="s">
        <v>19</v>
      </c>
      <c r="B4" s="2">
        <v>2</v>
      </c>
    </row>
    <row r="5" spans="1:2">
      <c r="A5" t="s">
        <v>20</v>
      </c>
      <c r="B5" s="2">
        <v>2</v>
      </c>
    </row>
    <row r="6" spans="1:2">
      <c r="A6" t="s">
        <v>21</v>
      </c>
      <c r="B6" s="2">
        <v>2</v>
      </c>
    </row>
    <row r="7" spans="1:2">
      <c r="A7" t="s">
        <v>22</v>
      </c>
      <c r="B7" s="2">
        <v>3</v>
      </c>
    </row>
    <row r="8" spans="1:2">
      <c r="A8" t="s">
        <v>23</v>
      </c>
      <c r="B8" s="2">
        <v>180000</v>
      </c>
    </row>
    <row r="9" spans="1:2">
      <c r="A9" t="s">
        <v>24</v>
      </c>
      <c r="B9" s="2">
        <v>2</v>
      </c>
    </row>
    <row r="10" spans="1:2">
      <c r="A10" t="s">
        <v>25</v>
      </c>
      <c r="B10" s="2">
        <v>10</v>
      </c>
    </row>
    <row r="11" spans="1:2">
      <c r="A11" t="s">
        <v>26</v>
      </c>
      <c r="B11" s="2">
        <v>1500</v>
      </c>
    </row>
    <row r="12" spans="1:2">
      <c r="A12" t="s">
        <v>27</v>
      </c>
      <c r="B12" s="2">
        <v>0.2</v>
      </c>
    </row>
    <row r="13" spans="1:2">
      <c r="A13" t="s">
        <v>28</v>
      </c>
      <c r="B13" s="2">
        <v>180000</v>
      </c>
    </row>
    <row r="14" spans="1:2">
      <c r="A14" t="s">
        <v>29</v>
      </c>
      <c r="B14" s="2">
        <v>0.2</v>
      </c>
    </row>
    <row r="15" spans="1:2">
      <c r="A15" t="s">
        <v>30</v>
      </c>
      <c r="B15" s="2">
        <v>150000</v>
      </c>
    </row>
    <row r="16" spans="1:2">
      <c r="A16" t="s">
        <v>31</v>
      </c>
      <c r="B16" s="2">
        <v>12000</v>
      </c>
    </row>
    <row r="17" spans="1:2">
      <c r="A17" t="s">
        <v>32</v>
      </c>
      <c r="B17" s="2">
        <v>0.1</v>
      </c>
    </row>
    <row r="18" spans="1:2">
      <c r="A18" t="s">
        <v>33</v>
      </c>
      <c r="B18" s="2">
        <v>240</v>
      </c>
    </row>
    <row r="19" spans="1:2">
      <c r="A19" t="s">
        <v>34</v>
      </c>
      <c r="B19" s="2">
        <v>58666.66666666666</v>
      </c>
    </row>
    <row r="20" spans="1:2">
      <c r="A20" t="s">
        <v>35</v>
      </c>
      <c r="B20" s="2">
        <v>186.6666666666667</v>
      </c>
    </row>
    <row r="21" spans="1:2">
      <c r="A21" t="s">
        <v>36</v>
      </c>
      <c r="B21" s="2">
        <v>125</v>
      </c>
    </row>
    <row r="22" spans="1:2">
      <c r="A22" t="s">
        <v>37</v>
      </c>
      <c r="B22" s="2">
        <v>5.666666666666666</v>
      </c>
    </row>
    <row r="23" spans="1:2">
      <c r="A23" t="s">
        <v>38</v>
      </c>
      <c r="B23" s="2">
        <v>2566.666666666667</v>
      </c>
    </row>
    <row r="24" spans="1:2">
      <c r="A24" t="s">
        <v>39</v>
      </c>
      <c r="B24" s="2">
        <v>1100</v>
      </c>
    </row>
    <row r="25" spans="1:2">
      <c r="A25" t="s">
        <v>40</v>
      </c>
      <c r="B25" s="2">
        <v>0.5</v>
      </c>
    </row>
    <row r="26" spans="1:2">
      <c r="A26" t="s">
        <v>41</v>
      </c>
      <c r="B26" s="2">
        <v>0.25</v>
      </c>
    </row>
    <row r="27" spans="1:2">
      <c r="A27" t="s">
        <v>42</v>
      </c>
      <c r="B27" s="2">
        <v>180000</v>
      </c>
    </row>
    <row r="28" spans="1:2">
      <c r="A28" t="s">
        <v>43</v>
      </c>
      <c r="B28" s="2">
        <v>198000</v>
      </c>
    </row>
    <row r="29" spans="1:2">
      <c r="A29" t="s">
        <v>44</v>
      </c>
      <c r="B29" s="2">
        <v>216000</v>
      </c>
    </row>
    <row r="30" spans="1:2">
      <c r="A30" t="s">
        <v>45</v>
      </c>
      <c r="B30" s="2">
        <v>120000</v>
      </c>
    </row>
    <row r="31" spans="1:2">
      <c r="A31" t="s">
        <v>46</v>
      </c>
      <c r="B31" s="2">
        <v>180000</v>
      </c>
    </row>
    <row r="32" spans="1:2">
      <c r="A32" t="s">
        <v>47</v>
      </c>
      <c r="B32" s="2">
        <v>240000</v>
      </c>
    </row>
    <row r="33" spans="1:2">
      <c r="A33" t="s">
        <v>48</v>
      </c>
      <c r="B33" s="2">
        <v>60000</v>
      </c>
    </row>
    <row r="34" spans="1:2">
      <c r="A34" t="s">
        <v>49</v>
      </c>
      <c r="B34" s="2">
        <v>80000</v>
      </c>
    </row>
    <row r="35" spans="1:2">
      <c r="A35" t="s">
        <v>50</v>
      </c>
      <c r="B35" s="2">
        <v>100000</v>
      </c>
    </row>
    <row r="36" spans="1:2">
      <c r="A36" t="s">
        <v>51</v>
      </c>
      <c r="B36" s="2">
        <v>60000</v>
      </c>
    </row>
    <row r="37" spans="1:2">
      <c r="A37" t="s">
        <v>52</v>
      </c>
      <c r="B37" s="2">
        <v>90000</v>
      </c>
    </row>
    <row r="38" spans="1:2">
      <c r="A38" t="s">
        <v>53</v>
      </c>
      <c r="B38" s="2">
        <v>120000</v>
      </c>
    </row>
    <row r="39" spans="1:2">
      <c r="A39" t="s">
        <v>54</v>
      </c>
      <c r="B39" s="2">
        <v>180000</v>
      </c>
    </row>
    <row r="40" spans="1:2">
      <c r="A40" t="s">
        <v>55</v>
      </c>
      <c r="B40" s="2">
        <v>8</v>
      </c>
    </row>
    <row r="41" spans="1:2">
      <c r="A41" t="s">
        <v>56</v>
      </c>
      <c r="B41" s="2">
        <v>15000</v>
      </c>
    </row>
    <row r="42" spans="1:2">
      <c r="A42" t="s">
        <v>57</v>
      </c>
      <c r="B42" s="2">
        <v>5000</v>
      </c>
    </row>
    <row r="43" spans="1:2">
      <c r="A43" t="s">
        <v>58</v>
      </c>
      <c r="B43" s="2">
        <v>140000</v>
      </c>
    </row>
    <row r="44" spans="1:2">
      <c r="A44" t="s">
        <v>59</v>
      </c>
      <c r="B44" s="2">
        <v>0.2</v>
      </c>
    </row>
    <row r="45" spans="1:2">
      <c r="A45" t="s">
        <v>60</v>
      </c>
      <c r="B45" s="2">
        <v>600000</v>
      </c>
    </row>
    <row r="46" spans="1:2">
      <c r="A46" t="s">
        <v>61</v>
      </c>
      <c r="B46" s="2">
        <v>7.333333333333333</v>
      </c>
    </row>
    <row r="47" spans="1:2">
      <c r="A47" t="s">
        <v>62</v>
      </c>
      <c r="B47" s="2">
        <v>160</v>
      </c>
    </row>
    <row r="48" spans="1:2">
      <c r="A48" t="s">
        <v>63</v>
      </c>
      <c r="B48" s="2">
        <v>80</v>
      </c>
    </row>
    <row r="49" spans="1:2">
      <c r="A49" t="s">
        <v>64</v>
      </c>
      <c r="B49" s="2">
        <v>240</v>
      </c>
    </row>
    <row r="50" spans="1:2">
      <c r="A50" t="s">
        <v>65</v>
      </c>
      <c r="B50" s="2">
        <v>22.5</v>
      </c>
    </row>
    <row r="51" spans="1:2">
      <c r="A51" t="s">
        <v>66</v>
      </c>
      <c r="B51" s="2">
        <v>500</v>
      </c>
    </row>
    <row r="52" spans="1:2">
      <c r="A52" t="s">
        <v>67</v>
      </c>
      <c r="B52" s="2">
        <v>12</v>
      </c>
    </row>
    <row r="53" spans="1:2">
      <c r="A53" t="s">
        <v>68</v>
      </c>
      <c r="B53" s="2">
        <v>0.41</v>
      </c>
    </row>
    <row r="54" spans="1:2">
      <c r="A54" t="s">
        <v>69</v>
      </c>
      <c r="B54" s="2">
        <v>500000</v>
      </c>
    </row>
    <row r="55" spans="1:2">
      <c r="A55" t="s">
        <v>70</v>
      </c>
      <c r="B55" s="2">
        <v>110000</v>
      </c>
    </row>
    <row r="56" spans="1:2">
      <c r="A56" t="s">
        <v>71</v>
      </c>
      <c r="B56" s="2">
        <v>300000</v>
      </c>
    </row>
    <row r="57" spans="1:2">
      <c r="A57" t="s">
        <v>72</v>
      </c>
      <c r="B57" s="2">
        <v>20000</v>
      </c>
    </row>
    <row r="58" spans="1:2">
      <c r="A58" t="s">
        <v>73</v>
      </c>
      <c r="B58" s="2">
        <v>0.25</v>
      </c>
    </row>
    <row r="59" spans="1:2">
      <c r="A59" t="s">
        <v>74</v>
      </c>
      <c r="B59" s="2">
        <v>9</v>
      </c>
    </row>
    <row r="60" spans="1:2">
      <c r="A60" t="s">
        <v>75</v>
      </c>
      <c r="B60" s="2">
        <v>0</v>
      </c>
    </row>
    <row r="61" spans="1:2">
      <c r="A61" t="s">
        <v>76</v>
      </c>
      <c r="B61" s="2">
        <v>600000</v>
      </c>
    </row>
    <row r="62" spans="1:2">
      <c r="A62" t="s">
        <v>77</v>
      </c>
      <c r="B62" s="2">
        <v>600000</v>
      </c>
    </row>
    <row r="63" spans="1:2">
      <c r="A63" t="s">
        <v>78</v>
      </c>
      <c r="B63" s="2">
        <v>660000</v>
      </c>
    </row>
    <row r="64" spans="1:2">
      <c r="A64" t="s">
        <v>79</v>
      </c>
      <c r="B64" s="2">
        <v>750000</v>
      </c>
    </row>
    <row r="65" spans="1:2">
      <c r="A65" t="s">
        <v>80</v>
      </c>
      <c r="B65" s="2">
        <v>110000</v>
      </c>
    </row>
    <row r="66" spans="1:2">
      <c r="A66" t="s">
        <v>81</v>
      </c>
      <c r="B66" s="2">
        <v>220000</v>
      </c>
    </row>
    <row r="67" spans="1:2">
      <c r="A67" t="s">
        <v>82</v>
      </c>
      <c r="B67" s="2">
        <v>15000</v>
      </c>
    </row>
    <row r="68" spans="1:2">
      <c r="A68" t="s">
        <v>83</v>
      </c>
      <c r="B68" s="2">
        <v>0.15</v>
      </c>
    </row>
    <row r="69" spans="1:2">
      <c r="A69" t="s">
        <v>84</v>
      </c>
      <c r="B69" s="2">
        <v>6</v>
      </c>
    </row>
    <row r="70" spans="1:2">
      <c r="A70" t="s">
        <v>85</v>
      </c>
      <c r="B70" s="2">
        <v>0.1</v>
      </c>
    </row>
    <row r="71" spans="1:2">
      <c r="A71" t="s">
        <v>86</v>
      </c>
      <c r="B71" s="2">
        <v>750000</v>
      </c>
    </row>
    <row r="72" spans="1:2">
      <c r="A72" t="s">
        <v>87</v>
      </c>
      <c r="B72" s="2">
        <v>900000</v>
      </c>
    </row>
    <row r="73" spans="1:2">
      <c r="A73" t="s">
        <v>88</v>
      </c>
      <c r="B73" s="2">
        <v>1050000</v>
      </c>
    </row>
    <row r="74" spans="1:2">
      <c r="A74" t="s">
        <v>89</v>
      </c>
      <c r="B74" s="2">
        <v>1000000</v>
      </c>
    </row>
    <row r="75" spans="1:2">
      <c r="A75" t="s">
        <v>90</v>
      </c>
      <c r="B75" s="2">
        <v>110000</v>
      </c>
    </row>
    <row r="76" spans="1:2">
      <c r="A76" t="s">
        <v>91</v>
      </c>
      <c r="B76" s="2">
        <v>180000</v>
      </c>
    </row>
    <row r="77" spans="1:2">
      <c r="A77" t="s">
        <v>92</v>
      </c>
      <c r="B77" s="2">
        <v>10000</v>
      </c>
    </row>
    <row r="78" spans="1:2">
      <c r="A78" t="s">
        <v>93</v>
      </c>
      <c r="B78" s="2">
        <v>0.1</v>
      </c>
    </row>
    <row r="79" spans="1:2">
      <c r="A79" t="s">
        <v>94</v>
      </c>
      <c r="B79" s="2">
        <v>6</v>
      </c>
    </row>
    <row r="80" spans="1:2">
      <c r="A80" t="s">
        <v>95</v>
      </c>
      <c r="B80" s="2">
        <v>0.25</v>
      </c>
    </row>
    <row r="81" spans="1:2">
      <c r="A81" t="s">
        <v>96</v>
      </c>
      <c r="B81" s="2">
        <v>900000</v>
      </c>
    </row>
    <row r="82" spans="1:2">
      <c r="A82" t="s">
        <v>97</v>
      </c>
      <c r="B82" s="2">
        <v>1200000</v>
      </c>
    </row>
    <row r="83" spans="1:2">
      <c r="A83" t="s">
        <v>98</v>
      </c>
      <c r="B83" s="2">
        <v>1500000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1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28" width="20.7109375" customWidth="1"/>
  </cols>
  <sheetData>
    <row r="1" spans="1:28">
      <c r="A1" s="1" t="s">
        <v>99</v>
      </c>
      <c r="B1" s="1" t="s">
        <v>100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  <c r="N1" s="1" t="s">
        <v>112</v>
      </c>
      <c r="O1" s="1" t="s">
        <v>113</v>
      </c>
      <c r="P1" s="1" t="s">
        <v>114</v>
      </c>
      <c r="Q1" s="1" t="s">
        <v>115</v>
      </c>
      <c r="R1" s="1" t="s">
        <v>116</v>
      </c>
      <c r="S1" s="1" t="s">
        <v>117</v>
      </c>
      <c r="T1" s="1" t="s">
        <v>118</v>
      </c>
      <c r="U1" s="1" t="s">
        <v>119</v>
      </c>
      <c r="V1" s="1" t="s">
        <v>120</v>
      </c>
      <c r="W1" s="1" t="s">
        <v>121</v>
      </c>
      <c r="X1" s="1" t="s">
        <v>122</v>
      </c>
      <c r="Y1" s="1" t="s">
        <v>123</v>
      </c>
      <c r="Z1" s="1" t="s">
        <v>124</v>
      </c>
      <c r="AA1" s="1" t="s">
        <v>125</v>
      </c>
      <c r="AB1" s="1" t="s">
        <v>126</v>
      </c>
    </row>
    <row r="2" spans="1:28">
      <c r="A2" t="s">
        <v>212</v>
      </c>
      <c r="B2">
        <v>1</v>
      </c>
      <c r="C2" s="3">
        <f>SUM('low'!D2:D13)</f>
        <v>3</v>
      </c>
      <c r="D2" s="3">
        <f>SUM('low'!E2:E13)</f>
        <v>2</v>
      </c>
      <c r="E2" s="3">
        <f>SUM('low'!F2:F13)</f>
        <v>1</v>
      </c>
      <c r="F2" s="3">
        <f>SUM('low'!R2:R13)</f>
        <v>2</v>
      </c>
      <c r="G2" s="3">
        <f>SUM('low'!S2:S13)</f>
        <v>416666.6666666667</v>
      </c>
      <c r="H2" s="3">
        <f>SUM('low'!T2:T13)</f>
        <v>220000</v>
      </c>
      <c r="I2" s="3">
        <f>SUM('low'!U2:U13)</f>
        <v>0.0</v>
      </c>
      <c r="J2" s="3">
        <f>SUM('low'!V2:V13)</f>
        <v>636666.6666666666</v>
      </c>
      <c r="K2" s="3">
        <f>SUM('low'!AD2:AD13)</f>
        <v>752499.9999999999</v>
      </c>
      <c r="L2" s="3">
        <f>SUM('low'!AE2:AE13)</f>
        <v>-115833.33333333337</v>
      </c>
      <c r="M2" s="3">
        <f>SUM('low'!AO2:AO13)</f>
        <v>1395000.0</v>
      </c>
      <c r="N2" s="3">
        <f>SUM('low'!AP2:AP13)</f>
        <v>-1510833.3333333335</v>
      </c>
      <c r="O2" s="3">
        <f>SUM('low'!AX2:AX13)</f>
        <v>-1725500.0000000005</v>
      </c>
      <c r="P2" s="3">
        <f>SUM('low'!BI2:BI13)</f>
        <v>11680.0</v>
      </c>
      <c r="Q2" s="4">
        <f>IF(J2=0,0,L2/J2)</f>
        <v>-0.18193717277486918</v>
      </c>
      <c r="R2" s="4">
        <f>IF(J2=0,0,N2/J2)</f>
        <v>-2.37303664921466</v>
      </c>
      <c r="S2" s="3">
        <f>'low'!J13</f>
        <v>1.0</v>
      </c>
      <c r="T2" s="3">
        <f>'low'!BD13</f>
        <v>500000.0</v>
      </c>
      <c r="U2" s="3">
        <f>'low'!AY13</f>
        <v>-1725500.0000000005</v>
      </c>
      <c r="V2" s="3">
        <f>'low'!AZ13</f>
        <v>375000.0</v>
      </c>
      <c r="W2" s="3">
        <f>'low'!BA13</f>
        <v>333333.3333333334</v>
      </c>
      <c r="X2" s="3">
        <f>'low'!BB13</f>
        <v>173000.0</v>
      </c>
      <c r="Y2" s="3">
        <f>'low'!BC13</f>
        <v>0.0</v>
      </c>
      <c r="Z2" s="3">
        <f>MAX('low'!Y2:Y13)</f>
        <v>2</v>
      </c>
      <c r="AA2" s="3">
        <f>MAX('low'!BF2:BF13)</f>
        <v>0.2</v>
      </c>
      <c r="AB2" s="3">
        <f>MAX('low'!BG2:BG13)</f>
        <v>0.2</v>
      </c>
    </row>
    <row r="3" spans="1:28">
      <c r="A3" t="s">
        <v>212</v>
      </c>
      <c r="B3">
        <v>2</v>
      </c>
      <c r="C3" s="3">
        <f>SUM('low'!D14:D25)</f>
        <v>6</v>
      </c>
      <c r="D3" s="3">
        <f>SUM('low'!E14:E25)</f>
        <v>4</v>
      </c>
      <c r="E3" s="3">
        <f>SUM('low'!F14:F25)</f>
        <v>7</v>
      </c>
      <c r="F3" s="3">
        <f>SUM('low'!R14:R25)</f>
        <v>3</v>
      </c>
      <c r="G3" s="3">
        <f>SUM('low'!S14:S25)</f>
        <v>2395833.333333333</v>
      </c>
      <c r="H3" s="3">
        <f>SUM('low'!T14:T25)</f>
        <v>330000</v>
      </c>
      <c r="I3" s="3">
        <f>SUM('low'!U14:U25)</f>
        <v>0.0</v>
      </c>
      <c r="J3" s="3">
        <f>SUM('low'!V14:V25)</f>
        <v>2725833.3333333335</v>
      </c>
      <c r="K3" s="3">
        <f>SUM('low'!AD14:AD25)</f>
        <v>2990208.333333333</v>
      </c>
      <c r="L3" s="3">
        <f>SUM('low'!AE14:AE25)</f>
        <v>-264375.0</v>
      </c>
      <c r="M3" s="3">
        <f>SUM('low'!AO14:AO25)</f>
        <v>1438000.0000000002</v>
      </c>
      <c r="N3" s="3">
        <f>SUM('low'!AP14:AP25)</f>
        <v>-1702375.0000000002</v>
      </c>
      <c r="O3" s="3">
        <f>SUM('low'!AX14:AX25)</f>
        <v>-2267791.6666666665</v>
      </c>
      <c r="P3" s="3">
        <f>SUM('low'!BI14:BI25)</f>
        <v>50720.0</v>
      </c>
      <c r="Q3" s="4">
        <f>IF(J3=0,0,L3/J3)</f>
        <v>-0.09698868847447263</v>
      </c>
      <c r="R3" s="4">
        <f>IF(J3=0,0,N3/J3)</f>
        <v>-0.624533781718129</v>
      </c>
      <c r="S3" s="3">
        <f>'low'!J25</f>
        <v>7.75</v>
      </c>
      <c r="T3" s="3">
        <f>'low'!BD25</f>
        <v>3875000.0</v>
      </c>
      <c r="U3" s="3">
        <f>'low'!AY25</f>
        <v>-3993291.666666666</v>
      </c>
      <c r="V3" s="3">
        <f>'low'!AZ25</f>
        <v>703750.0</v>
      </c>
      <c r="W3" s="3">
        <f>'low'!BA25</f>
        <v>492500.00000000006</v>
      </c>
      <c r="X3" s="3">
        <f>'low'!BB25</f>
        <v>521750.0</v>
      </c>
      <c r="Y3" s="3">
        <f>'low'!BC25</f>
        <v>47083.333333333336</v>
      </c>
      <c r="Z3" s="3">
        <f>MAX('low'!Y14:Y25)</f>
        <v>5</v>
      </c>
      <c r="AA3" s="3">
        <f>MAX('low'!BF14:BF25)</f>
        <v>1.55</v>
      </c>
      <c r="AB3" s="3">
        <f>MAX('low'!BG14:BG25)</f>
        <v>1.55</v>
      </c>
    </row>
    <row r="4" spans="1:28">
      <c r="A4" t="s">
        <v>212</v>
      </c>
      <c r="B4">
        <v>3</v>
      </c>
      <c r="C4" s="3">
        <f>SUM('low'!D26:D37)</f>
        <v>10</v>
      </c>
      <c r="D4" s="3">
        <f>SUM('low'!E26:E37)</f>
        <v>6</v>
      </c>
      <c r="E4" s="3">
        <f>SUM('low'!F26:F37)</f>
        <v>9</v>
      </c>
      <c r="F4" s="3">
        <f>SUM('low'!R26:R37)</f>
        <v>6</v>
      </c>
      <c r="G4" s="3">
        <f>SUM('low'!S26:S37)</f>
        <v>5463541.666666667</v>
      </c>
      <c r="H4" s="3">
        <f>SUM('low'!T26:T37)</f>
        <v>660000</v>
      </c>
      <c r="I4" s="3">
        <f>SUM('low'!U26:U37)</f>
        <v>0.0</v>
      </c>
      <c r="J4" s="3">
        <f>SUM('low'!V26:V37)</f>
        <v>6123541.666666667</v>
      </c>
      <c r="K4" s="3">
        <f>SUM('low'!AD26:AD37)</f>
        <v>6650697.916666667</v>
      </c>
      <c r="L4" s="3">
        <f>SUM('low'!AE26:AE37)</f>
        <v>-527156.2500000001</v>
      </c>
      <c r="M4" s="3">
        <f>SUM('low'!AO26:AO37)</f>
        <v>1875999.9999999993</v>
      </c>
      <c r="N4" s="3">
        <f>SUM('low'!AP26:AP37)</f>
        <v>-2403156.2500000005</v>
      </c>
      <c r="O4" s="3">
        <f>SUM('low'!AX26:AX37)</f>
        <v>-3154072.916666667</v>
      </c>
      <c r="P4" s="3">
        <f>SUM('low'!BI26:BI37)</f>
        <v>102720.0</v>
      </c>
      <c r="Q4" s="4">
        <f>IF(J4=0,0,L4/J4)</f>
        <v>-0.08608682339332496</v>
      </c>
      <c r="R4" s="4">
        <f>IF(J4=0,0,N4/J4)</f>
        <v>-0.3924454802163781</v>
      </c>
      <c r="S4" s="3">
        <f>'low'!J37</f>
        <v>14.8125</v>
      </c>
      <c r="T4" s="3">
        <f>'low'!BD37</f>
        <v>7406250.0</v>
      </c>
      <c r="U4" s="3">
        <f>'low'!AY37</f>
        <v>-7147364.583333334</v>
      </c>
      <c r="V4" s="3">
        <f>'low'!AZ37</f>
        <v>1305312.5</v>
      </c>
      <c r="W4" s="3">
        <f>'low'!BA37</f>
        <v>872708.3333333335</v>
      </c>
      <c r="X4" s="3">
        <f>'low'!BB37</f>
        <v>1051312.5</v>
      </c>
      <c r="Y4" s="3">
        <f>'low'!BC37</f>
        <v>47083.33333333333</v>
      </c>
      <c r="Z4" s="3">
        <f>MAX('low'!Y26:Y37)</f>
        <v>9</v>
      </c>
      <c r="AA4" s="3">
        <f>MAX('low'!BF26:BF37)</f>
        <v>2.9625000000000004</v>
      </c>
      <c r="AB4" s="3">
        <f>MAX('low'!BG26:BG37)</f>
        <v>2.9625000000000004</v>
      </c>
    </row>
    <row r="5" spans="1:28">
      <c r="A5" t="s">
        <v>213</v>
      </c>
      <c r="B5">
        <v>1</v>
      </c>
      <c r="C5" s="3">
        <f>SUM('mid'!D2:D13)</f>
        <v>5</v>
      </c>
      <c r="D5" s="3">
        <f>SUM('mid'!E2:E13)</f>
        <v>4</v>
      </c>
      <c r="E5" s="3">
        <f>SUM('mid'!F2:F13)</f>
        <v>3</v>
      </c>
      <c r="F5" s="3">
        <f>SUM('mid'!R2:R13)</f>
        <v>3</v>
      </c>
      <c r="G5" s="3">
        <f>SUM('mid'!S2:S13)</f>
        <v>937500.0</v>
      </c>
      <c r="H5" s="3">
        <f>SUM('mid'!T2:T13)</f>
        <v>330000</v>
      </c>
      <c r="I5" s="3">
        <f>SUM('mid'!U2:U13)</f>
        <v>0.0</v>
      </c>
      <c r="J5" s="3">
        <f>SUM('mid'!V2:V13)</f>
        <v>1267500.0</v>
      </c>
      <c r="K5" s="3">
        <f>SUM('mid'!AD2:AD13)</f>
        <v>975000.0</v>
      </c>
      <c r="L5" s="3">
        <f>SUM('mid'!AE2:AE13)</f>
        <v>292500.0</v>
      </c>
      <c r="M5" s="3">
        <f>SUM('mid'!AO2:AO13)</f>
        <v>1585000.0</v>
      </c>
      <c r="N5" s="3">
        <f>SUM('mid'!AP2:AP13)</f>
        <v>-1292500.0</v>
      </c>
      <c r="O5" s="3">
        <f>SUM('mid'!AX2:AX13)</f>
        <v>-1598450.0</v>
      </c>
      <c r="P5" s="3">
        <f>SUM('mid'!BI2:BI13)</f>
        <v>20000.0</v>
      </c>
      <c r="Q5" s="4">
        <f>IF(J5=0,0,L5/J5)</f>
        <v>0.23076923076923078</v>
      </c>
      <c r="R5" s="4">
        <f>IF(J5=0,0,N5/J5)</f>
        <v>-1.0197238658777121</v>
      </c>
      <c r="S5" s="3">
        <f>'mid'!J13</f>
        <v>3.0</v>
      </c>
      <c r="T5" s="3">
        <f>'mid'!BD13</f>
        <v>2250000.0</v>
      </c>
      <c r="U5" s="3">
        <f>'mid'!AY13</f>
        <v>-1598450.0</v>
      </c>
      <c r="V5" s="3">
        <f>'mid'!AZ13</f>
        <v>617500.0</v>
      </c>
      <c r="W5" s="3">
        <f>'mid'!BA13</f>
        <v>617500.0</v>
      </c>
      <c r="X5" s="3">
        <f>'mid'!BB13</f>
        <v>258866.66666666674</v>
      </c>
      <c r="Y5" s="3">
        <f>'mid'!BC13</f>
        <v>47083.333333333336</v>
      </c>
      <c r="Z5" s="3">
        <f>MAX('mid'!Y2:Y13)</f>
        <v>3</v>
      </c>
      <c r="AA5" s="3">
        <f>MAX('mid'!BF2:BF13)</f>
        <v>0.6000000000000001</v>
      </c>
      <c r="AB5" s="3">
        <f>MAX('mid'!BG2:BG13)</f>
        <v>0.6000000000000001</v>
      </c>
    </row>
    <row r="6" spans="1:28">
      <c r="A6" t="s">
        <v>213</v>
      </c>
      <c r="B6">
        <v>2</v>
      </c>
      <c r="C6" s="3">
        <f>SUM('mid'!D14:D25)</f>
        <v>14</v>
      </c>
      <c r="D6" s="3">
        <f>SUM('mid'!E14:E25)</f>
        <v>8</v>
      </c>
      <c r="E6" s="3">
        <f>SUM('mid'!F14:F25)</f>
        <v>13</v>
      </c>
      <c r="F6" s="3">
        <f>SUM('mid'!R14:R25)</f>
        <v>7</v>
      </c>
      <c r="G6" s="3">
        <f>SUM('mid'!S14:S25)</f>
        <v>7296875.0</v>
      </c>
      <c r="H6" s="3">
        <f>SUM('mid'!T14:T25)</f>
        <v>770000</v>
      </c>
      <c r="I6" s="3">
        <f>SUM('mid'!U14:U25)</f>
        <v>729687.5</v>
      </c>
      <c r="J6" s="3">
        <f>SUM('mid'!V14:V25)</f>
        <v>8796562.5</v>
      </c>
      <c r="K6" s="3">
        <f>SUM('mid'!AD14:AD25)</f>
        <v>5386796.875</v>
      </c>
      <c r="L6" s="3">
        <f>SUM('mid'!AE14:AE25)</f>
        <v>3409765.6250000005</v>
      </c>
      <c r="M6" s="3">
        <f>SUM('mid'!AO14:AO25)</f>
        <v>2238000.0000000005</v>
      </c>
      <c r="N6" s="3">
        <f>SUM('mid'!AP14:AP25)</f>
        <v>1171765.625</v>
      </c>
      <c r="O6" s="3">
        <f>SUM('mid'!AX14:AX25)</f>
        <v>-399284.3750000006</v>
      </c>
      <c r="P6" s="3">
        <f>SUM('mid'!BI14:BI25)</f>
        <v>103072.0</v>
      </c>
      <c r="Q6" s="4">
        <f>IF(J6=0,0,L6/J6)</f>
        <v>0.3876247824079009</v>
      </c>
      <c r="R6" s="4">
        <f>IF(J6=0,0,N6/J6)</f>
        <v>0.1332072187289069</v>
      </c>
      <c r="S6" s="3">
        <f>'mid'!J25</f>
        <v>15.549999999999999</v>
      </c>
      <c r="T6" s="3">
        <f>'mid'!BD25</f>
        <v>11662500.0</v>
      </c>
      <c r="U6" s="3">
        <f>'mid'!AY25</f>
        <v>-1997734.375000001</v>
      </c>
      <c r="V6" s="3">
        <f>'mid'!AZ25</f>
        <v>2546875.0</v>
      </c>
      <c r="W6" s="3">
        <f>'mid'!BA25</f>
        <v>1644375.0</v>
      </c>
      <c r="X6" s="3">
        <f>'mid'!BB25</f>
        <v>833250.0000000002</v>
      </c>
      <c r="Y6" s="3">
        <f>'mid'!BC25</f>
        <v>141250.0</v>
      </c>
      <c r="Z6" s="3">
        <f>MAX('mid'!Y14:Y25)</f>
        <v>10</v>
      </c>
      <c r="AA6" s="3">
        <f>MAX('mid'!BF14:BF25)</f>
        <v>3.11</v>
      </c>
      <c r="AB6" s="3">
        <f>MAX('mid'!BG14:BG25)</f>
        <v>3.11</v>
      </c>
    </row>
    <row r="7" spans="1:28">
      <c r="A7" t="s">
        <v>213</v>
      </c>
      <c r="B7">
        <v>3</v>
      </c>
      <c r="C7" s="3">
        <f>SUM('mid'!D26:D37)</f>
        <v>28</v>
      </c>
      <c r="D7" s="3">
        <f>SUM('mid'!E26:E37)</f>
        <v>12</v>
      </c>
      <c r="E7" s="3">
        <f>SUM('mid'!F26:F37)</f>
        <v>26</v>
      </c>
      <c r="F7" s="3">
        <f>SUM('mid'!R26:R37)</f>
        <v>12</v>
      </c>
      <c r="G7" s="3">
        <f>SUM('mid'!S26:S37)</f>
        <v>20702343.75</v>
      </c>
      <c r="H7" s="3">
        <f>SUM('mid'!T26:T37)</f>
        <v>1320000</v>
      </c>
      <c r="I7" s="3">
        <f>SUM('mid'!U26:U37)</f>
        <v>2070234.375</v>
      </c>
      <c r="J7" s="3">
        <f>SUM('mid'!V26:V37)</f>
        <v>24092578.125</v>
      </c>
      <c r="K7" s="3">
        <f>SUM('mid'!AD26:AD37)</f>
        <v>14293652.343750002</v>
      </c>
      <c r="L7" s="3">
        <f>SUM('mid'!AE26:AE37)</f>
        <v>9798925.781250002</v>
      </c>
      <c r="M7" s="3">
        <f>SUM('mid'!AO26:AO37)</f>
        <v>3106000.0000000005</v>
      </c>
      <c r="N7" s="3">
        <f>SUM('mid'!AP26:AP37)</f>
        <v>6692925.78125</v>
      </c>
      <c r="O7" s="3">
        <f>SUM('mid'!AX26:AX37)</f>
        <v>4086704.947916667</v>
      </c>
      <c r="P7" s="3">
        <f>SUM('mid'!BI26:BI37)</f>
        <v>261379.2</v>
      </c>
      <c r="Q7" s="4">
        <f>IF(J7=0,0,L7/J7)</f>
        <v>0.40671968480957255</v>
      </c>
      <c r="R7" s="4">
        <f>IF(J7=0,0,N7/J7)</f>
        <v>0.2778003145418876</v>
      </c>
      <c r="S7" s="3">
        <f>'mid'!J37</f>
        <v>39.2175</v>
      </c>
      <c r="T7" s="3">
        <f>'mid'!BD37</f>
        <v>29413125.0</v>
      </c>
      <c r="U7" s="3">
        <f>'mid'!AY37</f>
        <v>2088970.572916666</v>
      </c>
      <c r="V7" s="3">
        <f>'mid'!AZ37</f>
        <v>5966468.75</v>
      </c>
      <c r="W7" s="3">
        <f>'mid'!BA37</f>
        <v>3561093.75</v>
      </c>
      <c r="X7" s="3">
        <f>'mid'!BB37</f>
        <v>1936595.833333333</v>
      </c>
      <c r="Y7" s="3">
        <f>'mid'!BC37</f>
        <v>141250.0</v>
      </c>
      <c r="Z7" s="3">
        <f>MAX('mid'!Y26:Y37)</f>
        <v>23</v>
      </c>
      <c r="AA7" s="3">
        <f>MAX('mid'!BF26:BF37)</f>
        <v>7.843500000000001</v>
      </c>
      <c r="AB7" s="3">
        <f>MAX('mid'!BG26:BG37)</f>
        <v>7.843500000000001</v>
      </c>
    </row>
    <row r="8" spans="1:28">
      <c r="A8" t="s">
        <v>214</v>
      </c>
      <c r="B8">
        <v>1</v>
      </c>
      <c r="C8" s="3">
        <f>SUM('high'!D2:D13)</f>
        <v>8</v>
      </c>
      <c r="D8" s="3">
        <f>SUM('high'!E2:E13)</f>
        <v>6</v>
      </c>
      <c r="E8" s="3">
        <f>SUM('high'!F2:F13)</f>
        <v>5</v>
      </c>
      <c r="F8" s="3">
        <f>SUM('high'!R2:R13)</f>
        <v>5</v>
      </c>
      <c r="G8" s="3">
        <f>SUM('high'!S2:S13)</f>
        <v>1666666.6666666667</v>
      </c>
      <c r="H8" s="3">
        <f>SUM('high'!T2:T13)</f>
        <v>550000</v>
      </c>
      <c r="I8" s="3">
        <f>SUM('high'!U2:U13)</f>
        <v>0.0</v>
      </c>
      <c r="J8" s="3">
        <f>SUM('high'!V2:V13)</f>
        <v>2216666.6666666665</v>
      </c>
      <c r="K8" s="3">
        <f>SUM('high'!AD2:AD13)</f>
        <v>1287500.0</v>
      </c>
      <c r="L8" s="3">
        <f>SUM('high'!AE2:AE13)</f>
        <v>929166.6666666667</v>
      </c>
      <c r="M8" s="3">
        <f>SUM('high'!AO2:AO13)</f>
        <v>1970000.0</v>
      </c>
      <c r="N8" s="3">
        <f>SUM('high'!AP2:AP13)</f>
        <v>-1040833.3333333335</v>
      </c>
      <c r="O8" s="3">
        <f>SUM('high'!AX2:AX13)</f>
        <v>-1379383.3333333337</v>
      </c>
      <c r="P8" s="3">
        <f>SUM('high'!BI2:BI13)</f>
        <v>30240.0</v>
      </c>
      <c r="Q8" s="4">
        <f>IF(J8=0,0,L8/J8)</f>
        <v>0.41917293233082714</v>
      </c>
      <c r="R8" s="4">
        <f>IF(J8=0,0,N8/J8)</f>
        <v>-0.4695488721804512</v>
      </c>
      <c r="S8" s="3">
        <f>'high'!J13</f>
        <v>5.0</v>
      </c>
      <c r="T8" s="3">
        <f>'high'!BD13</f>
        <v>5000000.0</v>
      </c>
      <c r="U8" s="3">
        <f>'high'!AY13</f>
        <v>-1379383.3333333337</v>
      </c>
      <c r="V8" s="3">
        <f>'high'!AZ13</f>
        <v>1360000.0</v>
      </c>
      <c r="W8" s="3">
        <f>'high'!BA13</f>
        <v>1388333.3333333335</v>
      </c>
      <c r="X8" s="3">
        <f>'high'!BB13</f>
        <v>319800.0</v>
      </c>
      <c r="Y8" s="3">
        <f>'high'!BC13</f>
        <v>47083.33333333333</v>
      </c>
      <c r="Z8" s="3">
        <f>MAX('high'!Y2:Y13)</f>
        <v>4</v>
      </c>
      <c r="AA8" s="3">
        <f>MAX('high'!BF2:BF13)</f>
        <v>1.0</v>
      </c>
      <c r="AB8" s="3">
        <f>MAX('high'!BG2:BG13)</f>
        <v>1.0</v>
      </c>
    </row>
    <row r="9" spans="1:28">
      <c r="A9" t="s">
        <v>214</v>
      </c>
      <c r="B9">
        <v>2</v>
      </c>
      <c r="C9" s="3">
        <f>SUM('high'!D14:D25)</f>
        <v>24</v>
      </c>
      <c r="D9" s="3">
        <f>SUM('high'!E14:E25)</f>
        <v>12</v>
      </c>
      <c r="E9" s="3">
        <f>SUM('high'!F14:F25)</f>
        <v>23</v>
      </c>
      <c r="F9" s="3">
        <f>SUM('high'!R14:R25)</f>
        <v>11</v>
      </c>
      <c r="G9" s="3">
        <f>SUM('high'!S14:S25)</f>
        <v>16833333.33333333</v>
      </c>
      <c r="H9" s="3">
        <f>SUM('high'!T14:T25)</f>
        <v>1210000</v>
      </c>
      <c r="I9" s="3">
        <f>SUM('high'!U14:U25)</f>
        <v>4208333.333333332</v>
      </c>
      <c r="J9" s="3">
        <f>SUM('high'!V14:V25)</f>
        <v>22251666.66666666</v>
      </c>
      <c r="K9" s="3">
        <f>SUM('high'!AD14:AD25)</f>
        <v>9044749.999999998</v>
      </c>
      <c r="L9" s="3">
        <f>SUM('high'!AE14:AE25)</f>
        <v>13206916.666666664</v>
      </c>
      <c r="M9" s="3">
        <f>SUM('high'!AO14:AO25)</f>
        <v>2887999.9999999995</v>
      </c>
      <c r="N9" s="3">
        <f>SUM('high'!AP14:AP25)</f>
        <v>10318916.666666664</v>
      </c>
      <c r="O9" s="3">
        <f>SUM('high'!AX14:AX25)</f>
        <v>6683866.666666667</v>
      </c>
      <c r="P9" s="3">
        <f>SUM('high'!BI14:BI25)</f>
        <v>176352.0</v>
      </c>
      <c r="Q9" s="4">
        <f>IF(J9=0,0,L9/J9)</f>
        <v>0.593524829600779</v>
      </c>
      <c r="R9" s="4">
        <f>IF(J9=0,0,N9/J9)</f>
        <v>0.4637367987416673</v>
      </c>
      <c r="S9" s="3">
        <f>'high'!J25</f>
        <v>27.499999999999993</v>
      </c>
      <c r="T9" s="3">
        <f>'high'!BD25</f>
        <v>27499999.999999993</v>
      </c>
      <c r="U9" s="3">
        <f>'high'!AY25</f>
        <v>5304483.333333334</v>
      </c>
      <c r="V9" s="3">
        <f>'high'!AZ25</f>
        <v>6226250.0</v>
      </c>
      <c r="W9" s="3">
        <f>'high'!BA25</f>
        <v>3635000.000000003</v>
      </c>
      <c r="X9" s="3">
        <f>'high'!BB25</f>
        <v>1241100.0</v>
      </c>
      <c r="Y9" s="3">
        <f>'high'!BC25</f>
        <v>141250.0</v>
      </c>
      <c r="Z9" s="3">
        <f>MAX('high'!Y14:Y25)</f>
        <v>16</v>
      </c>
      <c r="AA9" s="3">
        <f>MAX('high'!BF14:BF25)</f>
        <v>5.499999999999999</v>
      </c>
      <c r="AB9" s="3">
        <f>MAX('high'!BG14:BG25)</f>
        <v>5.499999999999999</v>
      </c>
    </row>
    <row r="10" spans="1:28">
      <c r="A10" t="s">
        <v>214</v>
      </c>
      <c r="B10">
        <v>3</v>
      </c>
      <c r="C10" s="3">
        <f>SUM('high'!D26:D37)</f>
        <v>50</v>
      </c>
      <c r="D10" s="3">
        <f>SUM('high'!E26:E37)</f>
        <v>20</v>
      </c>
      <c r="E10" s="3">
        <f>SUM('high'!F26:F37)</f>
        <v>45</v>
      </c>
      <c r="F10" s="3">
        <f>SUM('high'!R26:R37)</f>
        <v>18</v>
      </c>
      <c r="G10" s="3">
        <f>SUM('high'!S26:S37)</f>
        <v>48733333.33333332</v>
      </c>
      <c r="H10" s="3">
        <f>SUM('high'!T26:T37)</f>
        <v>1980000</v>
      </c>
      <c r="I10" s="3">
        <f>SUM('high'!U26:U37)</f>
        <v>12183333.33333333</v>
      </c>
      <c r="J10" s="3">
        <f>SUM('high'!V26:V37)</f>
        <v>62896666.66666665</v>
      </c>
      <c r="K10" s="3">
        <f>SUM('high'!AD26:AD37)</f>
        <v>24629566.666666664</v>
      </c>
      <c r="L10" s="3">
        <f>SUM('high'!AE26:AE37)</f>
        <v>38267099.999999985</v>
      </c>
      <c r="M10" s="3">
        <f>SUM('high'!AO26:AO37)</f>
        <v>4466000.000000001</v>
      </c>
      <c r="N10" s="3">
        <f>SUM('high'!AP26:AP37)</f>
        <v>33801099.999999985</v>
      </c>
      <c r="O10" s="3">
        <f>SUM('high'!AX26:AX37)</f>
        <v>27586058.333333332</v>
      </c>
      <c r="P10" s="3">
        <f>SUM('high'!BI26:BI37)</f>
        <v>459212.80000000005</v>
      </c>
      <c r="Q10" s="4">
        <f>IF(J10=0,0,L10/J10)</f>
        <v>0.6084122105040012</v>
      </c>
      <c r="R10" s="4">
        <f>IF(J10=0,0,N10/J10)</f>
        <v>0.5374068578091048</v>
      </c>
      <c r="S10" s="3">
        <f>'high'!J37</f>
        <v>69.74999999999999</v>
      </c>
      <c r="T10" s="3">
        <f>'high'!BD37</f>
        <v>69749999.99999999</v>
      </c>
      <c r="U10" s="3">
        <f>'high'!AY37</f>
        <v>32890541.666666668</v>
      </c>
      <c r="V10" s="3">
        <f>'high'!AZ37</f>
        <v>15623958.333333334</v>
      </c>
      <c r="W10" s="3">
        <f>'high'!BA37</f>
        <v>8659166.666666683</v>
      </c>
      <c r="X10" s="3">
        <f>'high'!BB37</f>
        <v>2941350.0000000033</v>
      </c>
      <c r="Y10" s="3">
        <f>'high'!BC37</f>
        <v>282499.99999999994</v>
      </c>
      <c r="Z10" s="3">
        <f>MAX('high'!Y26:Y37)</f>
        <v>40</v>
      </c>
      <c r="AA10" s="3">
        <f>MAX('high'!BF26:BF37)</f>
        <v>13.949999999999998</v>
      </c>
      <c r="AB10" s="3">
        <f>MAX('high'!BG26:BG37)</f>
        <v>13.949999999999998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7" width="27.7109375" customWidth="1"/>
  </cols>
  <sheetData>
    <row r="1" spans="1:7">
      <c r="A1" s="1" t="s">
        <v>99</v>
      </c>
      <c r="B1" s="1" t="s">
        <v>127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A2" t="s">
        <v>212</v>
      </c>
      <c r="B2" s="3">
        <f>MAX('Inputs'!$B$43,-MIN('low'!AY2:AY37))*(1+'Inputs'!$B$44)</f>
        <v>8576837.5</v>
      </c>
      <c r="C2" s="3">
        <f>'Inputs'!$B$56+('Inputs'!$B$56*'Inputs'!$B$17+'Inputs'!$B$10*'Inputs'!$B$11+'Inputs'!$B$12*'Inputs'!$B$13+'Inputs'!$B$14*'Inputs'!$B$15+'Inputs'!$B$57+'Inputs'!$B$16)+'Inputs'!$B$8/'Inputs'!$B$9</f>
        <v>533000.0</v>
      </c>
      <c r="D2" s="4">
        <f>1-C2/'Inputs'!$B$54</f>
        <v>-0.06600000000000006</v>
      </c>
      <c r="E2" s="3">
        <f>('Inputs'!$B$19+'Inputs'!$B$20*'Inputs'!$B$21+'Inputs'!$B$22*'Inputs'!$B$11+'Inputs'!$B$23+'Inputs'!$B$24)</f>
        <v>94166.66666666667</v>
      </c>
      <c r="F2" s="4">
        <f>1-E2/'Inputs'!$B$55</f>
        <v>0.14393939393939392</v>
      </c>
      <c r="G2" s="3">
        <f>C2/0.4</f>
        <v>1332500.0</v>
      </c>
    </row>
    <row r="3" spans="1:7">
      <c r="A3" t="s">
        <v>213</v>
      </c>
      <c r="B3" s="3">
        <f>MAX('Inputs'!$B$43,-MIN('mid'!AY2:AY37))*(1+'Inputs'!$B$44)</f>
        <v>2892243.7500000005</v>
      </c>
      <c r="C3" s="3">
        <f>'Inputs'!$B$66+('Inputs'!$B$66*'Inputs'!$B$17+'Inputs'!$B$10*'Inputs'!$B$11+'Inputs'!$B$12*'Inputs'!$B$13+'Inputs'!$B$14*'Inputs'!$B$15+'Inputs'!$B$67+'Inputs'!$B$16)+'Inputs'!$B$8/'Inputs'!$B$9</f>
        <v>440000.0</v>
      </c>
      <c r="D3" s="4">
        <f>1-C3/'Inputs'!$B$64</f>
        <v>0.41333333333333333</v>
      </c>
      <c r="E3" s="3">
        <f>('Inputs'!$B$19+'Inputs'!$B$20*'Inputs'!$B$21+'Inputs'!$B$22*'Inputs'!$B$11+'Inputs'!$B$23+'Inputs'!$B$24)</f>
        <v>94166.66666666667</v>
      </c>
      <c r="F3" s="4">
        <f>1-E3/'Inputs'!$B$65</f>
        <v>0.14393939393939392</v>
      </c>
      <c r="G3" s="3">
        <f>C3/0.4</f>
        <v>1100000.0</v>
      </c>
    </row>
    <row r="4" spans="1:7">
      <c r="A4" t="s">
        <v>214</v>
      </c>
      <c r="B4" s="3">
        <f>MAX('Inputs'!$B$43,-MIN('high'!AY2:AY37))*(1+'Inputs'!$B$44)</f>
        <v>2176760.0000000005</v>
      </c>
      <c r="C4" s="3">
        <f>'Inputs'!$B$76+('Inputs'!$B$76*'Inputs'!$B$17+'Inputs'!$B$10*'Inputs'!$B$11+'Inputs'!$B$12*'Inputs'!$B$13+'Inputs'!$B$14*'Inputs'!$B$15+'Inputs'!$B$77+'Inputs'!$B$16)+'Inputs'!$B$8/'Inputs'!$B$9</f>
        <v>391000.0</v>
      </c>
      <c r="D4" s="4">
        <f>1-C4/'Inputs'!$B$74</f>
        <v>0.609</v>
      </c>
      <c r="E4" s="3">
        <f>('Inputs'!$B$19+'Inputs'!$B$20*'Inputs'!$B$21+'Inputs'!$B$22*'Inputs'!$B$11+'Inputs'!$B$23+'Inputs'!$B$24)</f>
        <v>94166.66666666667</v>
      </c>
      <c r="F4" s="4">
        <f>1-E4/'Inputs'!$B$75</f>
        <v>0.14393939393939392</v>
      </c>
      <c r="G4" s="3">
        <f>C4/0.4</f>
        <v>977500.0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I37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/>
  <cols>
    <col min="1" max="61" width="20.7109375" customWidth="1"/>
  </cols>
  <sheetData>
    <row r="1" spans="1:61">
      <c r="A1" s="1" t="s">
        <v>133</v>
      </c>
      <c r="B1" s="1" t="s">
        <v>134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135</v>
      </c>
      <c r="H1" s="1" t="s">
        <v>136</v>
      </c>
      <c r="I1" s="1" t="s">
        <v>137</v>
      </c>
      <c r="J1" s="1" t="s">
        <v>138</v>
      </c>
      <c r="K1" s="1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P1" s="1" t="s">
        <v>144</v>
      </c>
      <c r="Q1" s="1" t="s">
        <v>145</v>
      </c>
      <c r="R1" s="1" t="s">
        <v>104</v>
      </c>
      <c r="S1" s="1" t="s">
        <v>105</v>
      </c>
      <c r="T1" s="1" t="s">
        <v>106</v>
      </c>
      <c r="U1" s="1" t="s">
        <v>107</v>
      </c>
      <c r="V1" s="1" t="s">
        <v>108</v>
      </c>
      <c r="W1" s="1" t="s">
        <v>146</v>
      </c>
      <c r="X1" s="1" t="s">
        <v>147</v>
      </c>
      <c r="Y1" s="1" t="s">
        <v>148</v>
      </c>
      <c r="Z1" s="1" t="s">
        <v>149</v>
      </c>
      <c r="AA1" s="1" t="s">
        <v>150</v>
      </c>
      <c r="AB1" s="1" t="s">
        <v>151</v>
      </c>
      <c r="AC1" s="1" t="s">
        <v>152</v>
      </c>
      <c r="AD1" s="1" t="s">
        <v>109</v>
      </c>
      <c r="AE1" s="1" t="s">
        <v>110</v>
      </c>
      <c r="AF1" s="1" t="s">
        <v>153</v>
      </c>
      <c r="AG1" s="1" t="s">
        <v>154</v>
      </c>
      <c r="AH1" s="1" t="s">
        <v>155</v>
      </c>
      <c r="AI1" s="1" t="s">
        <v>156</v>
      </c>
      <c r="AJ1" s="1" t="s">
        <v>157</v>
      </c>
      <c r="AK1" s="1" t="s">
        <v>158</v>
      </c>
      <c r="AL1" s="1" t="s">
        <v>159</v>
      </c>
      <c r="AM1" s="1" t="s">
        <v>160</v>
      </c>
      <c r="AN1" s="1" t="s">
        <v>161</v>
      </c>
      <c r="AO1" s="1" t="s">
        <v>111</v>
      </c>
      <c r="AP1" s="1" t="s">
        <v>112</v>
      </c>
      <c r="AQ1" s="1" t="s">
        <v>162</v>
      </c>
      <c r="AR1" s="1" t="s">
        <v>163</v>
      </c>
      <c r="AS1" s="1" t="s">
        <v>164</v>
      </c>
      <c r="AT1" s="1" t="s">
        <v>165</v>
      </c>
      <c r="AU1" s="1" t="s">
        <v>166</v>
      </c>
      <c r="AV1" s="1" t="s">
        <v>167</v>
      </c>
      <c r="AW1" s="1" t="s">
        <v>168</v>
      </c>
      <c r="AX1" s="1" t="s">
        <v>113</v>
      </c>
      <c r="AY1" s="1" t="s">
        <v>169</v>
      </c>
      <c r="AZ1" s="1" t="s">
        <v>120</v>
      </c>
      <c r="BA1" s="1" t="s">
        <v>121</v>
      </c>
      <c r="BB1" s="1" t="s">
        <v>170</v>
      </c>
      <c r="BC1" s="1" t="s">
        <v>171</v>
      </c>
      <c r="BD1" s="1" t="s">
        <v>118</v>
      </c>
      <c r="BE1" s="1" t="s">
        <v>172</v>
      </c>
      <c r="BF1" s="1" t="s">
        <v>173</v>
      </c>
      <c r="BG1" s="1" t="s">
        <v>174</v>
      </c>
      <c r="BH1" s="1" t="s">
        <v>175</v>
      </c>
      <c r="BI1" s="1" t="s">
        <v>114</v>
      </c>
    </row>
    <row r="2" spans="1:61">
      <c r="A2">
        <v>1</v>
      </c>
      <c r="B2" t="s">
        <v>176</v>
      </c>
      <c r="C2">
        <v>1</v>
      </c>
      <c r="D2" s="2">
        <v>1</v>
      </c>
      <c r="E2" s="2">
        <v>0</v>
      </c>
      <c r="F2" s="3">
        <f>IF(A2&gt;'Inputs'!$B$3,INDEX($D$2:$D$37,MAX(1,A2-'Inputs'!$B$3)),0)</f>
        <v>0</v>
      </c>
      <c r="G2" s="3">
        <f>0+0</f>
        <v>0</v>
      </c>
      <c r="H2" s="3">
        <f>G2*(1-'Inputs'!$B$58)</f>
        <v>0.0</v>
      </c>
      <c r="I2" s="3">
        <f>G2-H2</f>
        <v>0.0</v>
      </c>
      <c r="J2" s="3">
        <f>0+F2-I2</f>
        <v>0.0</v>
      </c>
      <c r="K2" s="3">
        <f>SUM($D$2:D2)-SUM($F$2:F2)</f>
        <v>1</v>
      </c>
      <c r="L2" s="3">
        <f>0+0+0+0+0+0+H2</f>
        <v>0.0</v>
      </c>
      <c r="M2" s="3">
        <f>F2+L2</f>
        <v>0.0</v>
      </c>
      <c r="N2" s="3">
        <f>IF(A2+1&gt;'Inputs'!$B$3,INDEX($D$2:$D$37,MAX(1,A2+1-'Inputs'!$B$3)),0)+0+0+0+0+0+0+(0+0)*(1-'Inputs'!$B$58)</f>
        <v>0.0</v>
      </c>
      <c r="O2" s="3">
        <f>IF(A2+1&gt;'Inputs'!$B$3,INDEX($D$2:$D$37,MAX(1,A2+1-'Inputs'!$B$3)),0)</f>
        <v>0</v>
      </c>
      <c r="P2" s="3">
        <f>0+0+0</f>
        <v>0</v>
      </c>
      <c r="Q2" s="3">
        <f>0+0+0+(0+0)*(1-'Inputs'!$B$58)</f>
        <v>0.0</v>
      </c>
      <c r="R2" s="3">
        <f>IF(A2&gt;'Inputs'!$B$4,INDEX($E$2:$E$37,MAX(1,A2-'Inputs'!$B$4)),0)</f>
        <v>0</v>
      </c>
      <c r="S2" s="3">
        <f>J2*'Inputs'!$B$54/12</f>
        <v>0.0</v>
      </c>
      <c r="T2" s="3">
        <f>R2*'Inputs'!$B$55</f>
        <v>0</v>
      </c>
      <c r="U2" s="3">
        <f>S2*IF(C2&gt;1,'Inputs'!$B$60,0)</f>
        <v>0.0</v>
      </c>
      <c r="V2" s="3">
        <f>SUM(S2:U2)</f>
        <v>0.0</v>
      </c>
      <c r="W2" s="3">
        <f>J2*'Inputs'!$B$56/12</f>
        <v>0.0</v>
      </c>
      <c r="X2" s="3">
        <f>J2*('Inputs'!$B$56*'Inputs'!$B$17+'Inputs'!$B$10*'Inputs'!$B$11+'Inputs'!$B$12*'Inputs'!$B$13+'Inputs'!$B$14*'Inputs'!$B$15+'Inputs'!$B$57+'Inputs'!$B$16)/12</f>
        <v>0.0</v>
      </c>
      <c r="Y2" s="3">
        <f>MAX(0,ROUNDUP((J2+K2)/'Inputs'!$B$9,0))</f>
        <v>1</v>
      </c>
      <c r="Z2" s="3">
        <f>Y2*'Inputs'!$B$8/12</f>
        <v>15000.0</v>
      </c>
      <c r="AA2" s="3">
        <f>W2+X2+Z2</f>
        <v>15000.0</v>
      </c>
      <c r="AB2" s="3">
        <f>R2*('Inputs'!$B$19+'Inputs'!$B$20*'Inputs'!$B$21+'Inputs'!$B$22*'Inputs'!$B$11+'Inputs'!$B$23+'Inputs'!$B$24)</f>
        <v>0.0</v>
      </c>
      <c r="AC2" s="3">
        <f>U2*'Inputs'!$B$26</f>
        <v>0.0</v>
      </c>
      <c r="AD2" s="3">
        <f>AA2+AB2+AC2</f>
        <v>15000.0</v>
      </c>
      <c r="AE2" s="3">
        <f>V2-AD2</f>
        <v>-15000.0</v>
      </c>
      <c r="AF2" s="3">
        <f>'Inputs'!$B$27/12</f>
        <v>15000.0</v>
      </c>
      <c r="AG2" s="3">
        <f>'Inputs'!$B$61/12</f>
        <v>50000.0</v>
      </c>
      <c r="AH2" s="3">
        <f>'Inputs'!$B$30/12</f>
        <v>10000.0</v>
      </c>
      <c r="AI2" s="3">
        <f>'Inputs'!$B$33/12</f>
        <v>5000.0</v>
      </c>
      <c r="AJ2" s="3">
        <f>'Inputs'!$B$36/12</f>
        <v>5000.0</v>
      </c>
      <c r="AK2" s="3">
        <f>MAX(1,ROUNDUP((SUM($D$2:$D$13)+0.5*SUM($E$2:$E$13))/'Inputs'!$B$40,0))</f>
        <v>1</v>
      </c>
      <c r="AL2" s="3">
        <f>AK2*'Inputs'!$B$39/12</f>
        <v>15000.0</v>
      </c>
      <c r="AM2" s="3">
        <f>D2*'Inputs'!$B$41+E2*'Inputs'!$B$42</f>
        <v>15000</v>
      </c>
      <c r="AN2" s="3">
        <f>'Inputs'!$B$43</f>
        <v>140000</v>
      </c>
      <c r="AO2" s="3">
        <f>AF2+AG2+AH2+AI2+AJ2+AL2+AM2+AN2</f>
        <v>255000.0</v>
      </c>
      <c r="AP2" s="3">
        <f>AE2-AO2</f>
        <v>-270000.0</v>
      </c>
      <c r="AQ2" s="3">
        <f>(D2+L2)*'Inputs'!$B$54/4</f>
        <v>125000.0</v>
      </c>
      <c r="AR2" s="3">
        <f>(E2*'Inputs'!$B$25+R2*(1-'Inputs'!$B$25))*'Inputs'!$B$55</f>
        <v>0.0</v>
      </c>
      <c r="AS2" s="3">
        <f>AQ2+AR2+U2</f>
        <v>125000.0</v>
      </c>
      <c r="AT2" s="3">
        <f>IF(A2&gt;'Inputs'!$B$5,INDEX($AS$2:$AS$37,MAX(1,A2-'Inputs'!$B$5)),0)</f>
        <v>0</v>
      </c>
      <c r="AU2" s="3">
        <f>'Inputs'!$B$56*(O2*'Inputs'!$B$53+P2*(1-'Inputs'!$B$53)/3+Q2/4)</f>
        <v>0.0</v>
      </c>
      <c r="AV2" s="3">
        <f>(E2+0)*('Inputs'!$B$19+'Inputs'!$B$20*'Inputs'!$B$21+'Inputs'!$B$22*'Inputs'!$B$11+'Inputs'!$B$23+'Inputs'!$B$24)/2</f>
        <v>0.0</v>
      </c>
      <c r="AW2" s="3">
        <f>AU2+X2+Z2+AV2+AC2+AO2</f>
        <v>270000.0</v>
      </c>
      <c r="AX2" s="3">
        <f>AT2-AW2</f>
        <v>-270000.0</v>
      </c>
      <c r="AY2" s="3">
        <f>0+AX2</f>
        <v>-270000.0</v>
      </c>
      <c r="AZ2" s="3">
        <f>0+AS2-AT2</f>
        <v>125000.0</v>
      </c>
      <c r="BA2" s="3">
        <f>0+AQ2+AR2-S2-T2</f>
        <v>125000.0</v>
      </c>
      <c r="BB2" s="3">
        <f>0+AU2-W2</f>
        <v>0.0</v>
      </c>
      <c r="BC2" s="3">
        <f>0+AV2-AB2</f>
        <v>0.0</v>
      </c>
      <c r="BD2" s="3">
        <f>J2*'Inputs'!$B$54</f>
        <v>0.0</v>
      </c>
      <c r="BE2" s="3">
        <f>(J2+K2)/'Inputs'!$B$9</f>
        <v>0.5</v>
      </c>
      <c r="BF2" s="3">
        <f>J2*'Inputs'!$B$12</f>
        <v>0.0</v>
      </c>
      <c r="BG2" s="3">
        <f>J2*'Inputs'!$B$14</f>
        <v>0.0</v>
      </c>
      <c r="BH2" s="3">
        <f>J2*'Inputs'!$B$10/12+E2*'Inputs'!$B$22</f>
        <v>0.0</v>
      </c>
      <c r="BI2" s="3">
        <f>'Inputs'!$B$6*'Inputs'!$B$7*(F2*('Inputs'!$B$49+'Inputs'!$B$47)+L2*('Inputs'!$B$49+'Inputs'!$B$48))+E2*'Inputs'!$B$46*'Inputs'!$B$18</f>
        <v>0.0</v>
      </c>
    </row>
    <row r="3" spans="1:61">
      <c r="A3">
        <v>2</v>
      </c>
      <c r="B3" t="s">
        <v>177</v>
      </c>
      <c r="C3">
        <v>1</v>
      </c>
      <c r="D3" s="2">
        <v>0</v>
      </c>
      <c r="E3" s="2">
        <v>0</v>
      </c>
      <c r="F3" s="3">
        <f>IF(A3&gt;'Inputs'!$B$3,INDEX($D$2:$D$37,MAX(1,A3-'Inputs'!$B$3)),0)</f>
        <v>0</v>
      </c>
      <c r="G3" s="3">
        <f>0+0</f>
        <v>0</v>
      </c>
      <c r="H3" s="3">
        <f>G3*(1-'Inputs'!$B$58)</f>
        <v>0.0</v>
      </c>
      <c r="I3" s="3">
        <f>G3-H3</f>
        <v>0.0</v>
      </c>
      <c r="J3" s="3">
        <f>J2+F3-I3</f>
        <v>0.0</v>
      </c>
      <c r="K3" s="3">
        <f>SUM($D$2:D3)-SUM($F$2:F3)</f>
        <v>1</v>
      </c>
      <c r="L3" s="3">
        <f>0+0+0+0+0+0+H3</f>
        <v>0.0</v>
      </c>
      <c r="M3" s="3">
        <f>F3+L3</f>
        <v>0.0</v>
      </c>
      <c r="N3" s="3">
        <f>IF(A3+1&gt;'Inputs'!$B$3,INDEX($D$2:$D$37,MAX(1,A3+1-'Inputs'!$B$3)),0)+0+0+0+0+0+0+(0+0)*(1-'Inputs'!$B$58)</f>
        <v>1.0</v>
      </c>
      <c r="O3" s="3">
        <f>IF(A3+1&gt;'Inputs'!$B$3,INDEX($D$2:$D$37,MAX(1,A3+1-'Inputs'!$B$3)),0)</f>
        <v>1</v>
      </c>
      <c r="P3" s="3">
        <f>0+0+0</f>
        <v>0</v>
      </c>
      <c r="Q3" s="3">
        <f>0+0+0+(0+0)*(1-'Inputs'!$B$58)</f>
        <v>0.0</v>
      </c>
      <c r="R3" s="3">
        <f>IF(A3&gt;'Inputs'!$B$4,INDEX($E$2:$E$37,MAX(1,A3-'Inputs'!$B$4)),0)</f>
        <v>0</v>
      </c>
      <c r="S3" s="3">
        <f>J3*'Inputs'!$B$54/12</f>
        <v>0.0</v>
      </c>
      <c r="T3" s="3">
        <f>R3*'Inputs'!$B$55</f>
        <v>0</v>
      </c>
      <c r="U3" s="3">
        <f>S3*IF(C3&gt;1,'Inputs'!$B$60,0)</f>
        <v>0.0</v>
      </c>
      <c r="V3" s="3">
        <f>SUM(S3:U3)</f>
        <v>0.0</v>
      </c>
      <c r="W3" s="3">
        <f>J3*'Inputs'!$B$56/12</f>
        <v>0.0</v>
      </c>
      <c r="X3" s="3">
        <f>J3*('Inputs'!$B$56*'Inputs'!$B$17+'Inputs'!$B$10*'Inputs'!$B$11+'Inputs'!$B$12*'Inputs'!$B$13+'Inputs'!$B$14*'Inputs'!$B$15+'Inputs'!$B$57+'Inputs'!$B$16)/12</f>
        <v>0.0</v>
      </c>
      <c r="Y3" s="3">
        <f>MAX(Y2,ROUNDUP((J3+K3)/'Inputs'!$B$9,0))</f>
        <v>1</v>
      </c>
      <c r="Z3" s="3">
        <f>Y3*'Inputs'!$B$8/12</f>
        <v>15000.0</v>
      </c>
      <c r="AA3" s="3">
        <f>W3+X3+Z3</f>
        <v>15000.0</v>
      </c>
      <c r="AB3" s="3">
        <f>R3*('Inputs'!$B$19+'Inputs'!$B$20*'Inputs'!$B$21+'Inputs'!$B$22*'Inputs'!$B$11+'Inputs'!$B$23+'Inputs'!$B$24)</f>
        <v>0.0</v>
      </c>
      <c r="AC3" s="3">
        <f>U3*'Inputs'!$B$26</f>
        <v>0.0</v>
      </c>
      <c r="AD3" s="3">
        <f>AA3+AB3+AC3</f>
        <v>15000.0</v>
      </c>
      <c r="AE3" s="3">
        <f>V3-AD3</f>
        <v>-15000.0</v>
      </c>
      <c r="AF3" s="3">
        <f>'Inputs'!$B$27/12</f>
        <v>15000.0</v>
      </c>
      <c r="AG3" s="3">
        <f>'Inputs'!$B$61/12</f>
        <v>50000.0</v>
      </c>
      <c r="AH3" s="3">
        <f>'Inputs'!$B$30/12</f>
        <v>10000.0</v>
      </c>
      <c r="AI3" s="3">
        <f>'Inputs'!$B$33/12</f>
        <v>5000.0</v>
      </c>
      <c r="AJ3" s="3">
        <f>'Inputs'!$B$36/12</f>
        <v>5000.0</v>
      </c>
      <c r="AK3" s="3">
        <f>MAX(1,ROUNDUP((SUM($D$2:$D$13)+0.5*SUM($E$2:$E$13))/'Inputs'!$B$40,0))</f>
        <v>1</v>
      </c>
      <c r="AL3" s="3">
        <f>AK3*'Inputs'!$B$39/12</f>
        <v>15000.0</v>
      </c>
      <c r="AM3" s="3">
        <f>D3*'Inputs'!$B$41+E3*'Inputs'!$B$42</f>
        <v>0</v>
      </c>
      <c r="AN3" s="3">
        <f>0</f>
        <v>0</v>
      </c>
      <c r="AO3" s="3">
        <f>AF3+AG3+AH3+AI3+AJ3+AL3+AM3+AN3</f>
        <v>100000.0</v>
      </c>
      <c r="AP3" s="3">
        <f>AE3-AO3</f>
        <v>-115000.0</v>
      </c>
      <c r="AQ3" s="3">
        <f>(D3+L3)*'Inputs'!$B$54/4</f>
        <v>0.0</v>
      </c>
      <c r="AR3" s="3">
        <f>(E3*'Inputs'!$B$25+R3*(1-'Inputs'!$B$25))*'Inputs'!$B$55</f>
        <v>0.0</v>
      </c>
      <c r="AS3" s="3">
        <f>AQ3+AR3+U3</f>
        <v>0.0</v>
      </c>
      <c r="AT3" s="3">
        <f>IF(A3&gt;'Inputs'!$B$5,INDEX($AS$2:$AS$37,MAX(1,A3-'Inputs'!$B$5)),0)</f>
        <v>0</v>
      </c>
      <c r="AU3" s="3">
        <f>'Inputs'!$B$56*(O3*'Inputs'!$B$53+P3*(1-'Inputs'!$B$53)/3+Q3/4)</f>
        <v>122999.99999999999</v>
      </c>
      <c r="AV3" s="3">
        <f>(E3+E2)*('Inputs'!$B$19+'Inputs'!$B$20*'Inputs'!$B$21+'Inputs'!$B$22*'Inputs'!$B$11+'Inputs'!$B$23+'Inputs'!$B$24)/2</f>
        <v>0.0</v>
      </c>
      <c r="AW3" s="3">
        <f>AU3+X3+Z3+AV3+AC3+AO3</f>
        <v>238000.0</v>
      </c>
      <c r="AX3" s="3">
        <f>AT3-AW3</f>
        <v>-238000.0</v>
      </c>
      <c r="AY3" s="3">
        <f>AY2+AX3</f>
        <v>-508000.0</v>
      </c>
      <c r="AZ3" s="3">
        <f>AZ2+AS3-AT3</f>
        <v>125000.0</v>
      </c>
      <c r="BA3" s="3">
        <f>BA2+AQ3+AR3-S3-T3</f>
        <v>125000.0</v>
      </c>
      <c r="BB3" s="3">
        <f>BB2+AU3-W3</f>
        <v>122999.99999999999</v>
      </c>
      <c r="BC3" s="3">
        <f>BC2+AV3-AB3</f>
        <v>0.0</v>
      </c>
      <c r="BD3" s="3">
        <f>J3*'Inputs'!$B$54</f>
        <v>0.0</v>
      </c>
      <c r="BE3" s="3">
        <f>(J3+K3)/'Inputs'!$B$9</f>
        <v>0.5</v>
      </c>
      <c r="BF3" s="3">
        <f>J3*'Inputs'!$B$12</f>
        <v>0.0</v>
      </c>
      <c r="BG3" s="3">
        <f>J3*'Inputs'!$B$14</f>
        <v>0.0</v>
      </c>
      <c r="BH3" s="3">
        <f>J3*'Inputs'!$B$10/12+E3*'Inputs'!$B$22</f>
        <v>0.0</v>
      </c>
      <c r="BI3" s="3">
        <f>'Inputs'!$B$6*'Inputs'!$B$7*(F3*('Inputs'!$B$49+'Inputs'!$B$47)+L3*('Inputs'!$B$49+'Inputs'!$B$48))+E3*'Inputs'!$B$46*'Inputs'!$B$18</f>
        <v>0.0</v>
      </c>
    </row>
    <row r="4" spans="1:61">
      <c r="A4">
        <v>3</v>
      </c>
      <c r="B4" t="s">
        <v>178</v>
      </c>
      <c r="C4">
        <v>1</v>
      </c>
      <c r="D4" s="2">
        <v>0</v>
      </c>
      <c r="E4" s="2">
        <v>1</v>
      </c>
      <c r="F4" s="3">
        <f>IF(A4&gt;'Inputs'!$B$3,INDEX($D$2:$D$37,MAX(1,A4-'Inputs'!$B$3)),0)</f>
        <v>1</v>
      </c>
      <c r="G4" s="3">
        <f>0+0</f>
        <v>0</v>
      </c>
      <c r="H4" s="3">
        <f>G4*(1-'Inputs'!$B$58)</f>
        <v>0.0</v>
      </c>
      <c r="I4" s="3">
        <f>G4-H4</f>
        <v>0.0</v>
      </c>
      <c r="J4" s="3">
        <f>J3+F4-I4</f>
        <v>1.0</v>
      </c>
      <c r="K4" s="3">
        <f>SUM($D$2:D4)-SUM($F$2:F4)</f>
        <v>0</v>
      </c>
      <c r="L4" s="3">
        <f>0+0+0+0+0+0+H4</f>
        <v>0.0</v>
      </c>
      <c r="M4" s="3">
        <f>F4+L4</f>
        <v>1.0</v>
      </c>
      <c r="N4" s="3">
        <f>IF(A4+1&gt;'Inputs'!$B$3,INDEX($D$2:$D$37,MAX(1,A4+1-'Inputs'!$B$3)),0)+F2+H2+0+0+0+0+(0+0)*(1-'Inputs'!$B$58)</f>
        <v>0.0</v>
      </c>
      <c r="O4" s="3">
        <f>IF(A4+1&gt;'Inputs'!$B$3,INDEX($D$2:$D$37,MAX(1,A4+1-'Inputs'!$B$3)),0)</f>
        <v>0</v>
      </c>
      <c r="P4" s="3">
        <f>F2+0+0</f>
        <v>0</v>
      </c>
      <c r="Q4" s="3">
        <f>H2+0+0+(0+0)*(1-'Inputs'!$B$58)</f>
        <v>0.0</v>
      </c>
      <c r="R4" s="3">
        <f>IF(A4&gt;'Inputs'!$B$4,INDEX($E$2:$E$37,MAX(1,A4-'Inputs'!$B$4)),0)</f>
        <v>0</v>
      </c>
      <c r="S4" s="3">
        <f>J4*'Inputs'!$B$54/12</f>
        <v>41666.666666666664</v>
      </c>
      <c r="T4" s="3">
        <f>R4*'Inputs'!$B$55</f>
        <v>0</v>
      </c>
      <c r="U4" s="3">
        <f>S4*IF(C4&gt;1,'Inputs'!$B$60,0)</f>
        <v>0.0</v>
      </c>
      <c r="V4" s="3">
        <f>SUM(S4:U4)</f>
        <v>41666.666666666664</v>
      </c>
      <c r="W4" s="3">
        <f>J4*'Inputs'!$B$56/12</f>
        <v>25000.0</v>
      </c>
      <c r="X4" s="3">
        <f>J4*('Inputs'!$B$56*'Inputs'!$B$17+'Inputs'!$B$10*'Inputs'!$B$11+'Inputs'!$B$12*'Inputs'!$B$13+'Inputs'!$B$14*'Inputs'!$B$15+'Inputs'!$B$57+'Inputs'!$B$16)/12</f>
        <v>11916.666666666666</v>
      </c>
      <c r="Y4" s="3">
        <f>MAX(Y3,ROUNDUP((J4+K4)/'Inputs'!$B$9,0))</f>
        <v>1</v>
      </c>
      <c r="Z4" s="3">
        <f>Y4*'Inputs'!$B$8/12</f>
        <v>15000.0</v>
      </c>
      <c r="AA4" s="3">
        <f>W4+X4+Z4</f>
        <v>51916.666666666664</v>
      </c>
      <c r="AB4" s="3">
        <f>R4*('Inputs'!$B$19+'Inputs'!$B$20*'Inputs'!$B$21+'Inputs'!$B$22*'Inputs'!$B$11+'Inputs'!$B$23+'Inputs'!$B$24)</f>
        <v>0.0</v>
      </c>
      <c r="AC4" s="3">
        <f>U4*'Inputs'!$B$26</f>
        <v>0.0</v>
      </c>
      <c r="AD4" s="3">
        <f>AA4+AB4+AC4</f>
        <v>51916.666666666664</v>
      </c>
      <c r="AE4" s="3">
        <f>V4-AD4</f>
        <v>-10250.0</v>
      </c>
      <c r="AF4" s="3">
        <f>'Inputs'!$B$27/12</f>
        <v>15000.0</v>
      </c>
      <c r="AG4" s="3">
        <f>'Inputs'!$B$61/12</f>
        <v>50000.0</v>
      </c>
      <c r="AH4" s="3">
        <f>'Inputs'!$B$30/12</f>
        <v>10000.0</v>
      </c>
      <c r="AI4" s="3">
        <f>'Inputs'!$B$33/12</f>
        <v>5000.0</v>
      </c>
      <c r="AJ4" s="3">
        <f>'Inputs'!$B$36/12</f>
        <v>5000.0</v>
      </c>
      <c r="AK4" s="3">
        <f>MAX(1,ROUNDUP((SUM($D$2:$D$13)+0.5*SUM($E$2:$E$13))/'Inputs'!$B$40,0))</f>
        <v>1</v>
      </c>
      <c r="AL4" s="3">
        <f>AK4*'Inputs'!$B$39/12</f>
        <v>15000.0</v>
      </c>
      <c r="AM4" s="3">
        <f>D4*'Inputs'!$B$41+E4*'Inputs'!$B$42</f>
        <v>5000</v>
      </c>
      <c r="AN4" s="3">
        <f>0</f>
        <v>0</v>
      </c>
      <c r="AO4" s="3">
        <f>AF4+AG4+AH4+AI4+AJ4+AL4+AM4+AN4</f>
        <v>105000.0</v>
      </c>
      <c r="AP4" s="3">
        <f>AE4-AO4</f>
        <v>-115250.0</v>
      </c>
      <c r="AQ4" s="3">
        <f>(D4+L4)*'Inputs'!$B$54/4</f>
        <v>0.0</v>
      </c>
      <c r="AR4" s="3">
        <f>(E4*'Inputs'!$B$25+R4*(1-'Inputs'!$B$25))*'Inputs'!$B$55</f>
        <v>55000.0</v>
      </c>
      <c r="AS4" s="3">
        <f>AQ4+AR4+U4</f>
        <v>55000.0</v>
      </c>
      <c r="AT4" s="3">
        <f>IF(A4&gt;'Inputs'!$B$5,INDEX($AS$2:$AS$37,MAX(1,A4-'Inputs'!$B$5)),0)</f>
        <v>125000.0</v>
      </c>
      <c r="AU4" s="3">
        <f>'Inputs'!$B$56*(O4*'Inputs'!$B$53+P4*(1-'Inputs'!$B$53)/3+Q4/4)</f>
        <v>0.0</v>
      </c>
      <c r="AV4" s="3">
        <f>(E4+E3)*('Inputs'!$B$19+'Inputs'!$B$20*'Inputs'!$B$21+'Inputs'!$B$22*'Inputs'!$B$11+'Inputs'!$B$23+'Inputs'!$B$24)/2</f>
        <v>47083.333333333336</v>
      </c>
      <c r="AW4" s="3">
        <f>AU4+X4+Z4+AV4+AC4+AO4</f>
        <v>179000.0</v>
      </c>
      <c r="AX4" s="3">
        <f>AT4-AW4</f>
        <v>-54000.0</v>
      </c>
      <c r="AY4" s="3">
        <f>AY3+AX4</f>
        <v>-562000.0</v>
      </c>
      <c r="AZ4" s="3">
        <f>AZ3+AS4-AT4</f>
        <v>55000.0</v>
      </c>
      <c r="BA4" s="3">
        <f>BA3+AQ4+AR4-S4-T4</f>
        <v>138333.33333333334</v>
      </c>
      <c r="BB4" s="3">
        <f>BB3+AU4-W4</f>
        <v>97999.99999999999</v>
      </c>
      <c r="BC4" s="3">
        <f>BC3+AV4-AB4</f>
        <v>47083.333333333336</v>
      </c>
      <c r="BD4" s="3">
        <f>J4*'Inputs'!$B$54</f>
        <v>500000.0</v>
      </c>
      <c r="BE4" s="3">
        <f>(J4+K4)/'Inputs'!$B$9</f>
        <v>0.5</v>
      </c>
      <c r="BF4" s="3">
        <f>J4*'Inputs'!$B$12</f>
        <v>0.2</v>
      </c>
      <c r="BG4" s="3">
        <f>J4*'Inputs'!$B$14</f>
        <v>0.2</v>
      </c>
      <c r="BH4" s="3">
        <f>J4*'Inputs'!$B$10/12+E4*'Inputs'!$B$22</f>
        <v>6.499999999999999</v>
      </c>
      <c r="BI4" s="3">
        <f>'Inputs'!$B$6*'Inputs'!$B$7*(F4*('Inputs'!$B$49+'Inputs'!$B$47)+L4*('Inputs'!$B$49+'Inputs'!$B$48))+E4*'Inputs'!$B$46*'Inputs'!$B$18</f>
        <v>4160.0</v>
      </c>
    </row>
    <row r="5" spans="1:61">
      <c r="A5">
        <v>4</v>
      </c>
      <c r="B5" t="s">
        <v>179</v>
      </c>
      <c r="C5">
        <v>1</v>
      </c>
      <c r="D5" s="2">
        <v>0</v>
      </c>
      <c r="E5" s="2">
        <v>1</v>
      </c>
      <c r="F5" s="3">
        <f>IF(A5&gt;'Inputs'!$B$3,INDEX($D$2:$D$37,MAX(1,A5-'Inputs'!$B$3)),0)</f>
        <v>0</v>
      </c>
      <c r="G5" s="3">
        <f>0+0</f>
        <v>0</v>
      </c>
      <c r="H5" s="3">
        <f>G5*(1-'Inputs'!$B$58)</f>
        <v>0.0</v>
      </c>
      <c r="I5" s="3">
        <f>G5-H5</f>
        <v>0.0</v>
      </c>
      <c r="J5" s="3">
        <f>J4+F5-I5</f>
        <v>1.0</v>
      </c>
      <c r="K5" s="3">
        <f>SUM($D$2:D5)-SUM($F$2:F5)</f>
        <v>0</v>
      </c>
      <c r="L5" s="3">
        <f>F2+H2+0+0+0+0+H5</f>
        <v>0.0</v>
      </c>
      <c r="M5" s="3">
        <f>F5+L5</f>
        <v>0.0</v>
      </c>
      <c r="N5" s="3">
        <f>IF(A5+1&gt;'Inputs'!$B$3,INDEX($D$2:$D$37,MAX(1,A5+1-'Inputs'!$B$3)),0)+F3+H3+0+0+0+0+(0+0)*(1-'Inputs'!$B$58)</f>
        <v>0.0</v>
      </c>
      <c r="O5" s="3">
        <f>IF(A5+1&gt;'Inputs'!$B$3,INDEX($D$2:$D$37,MAX(1,A5+1-'Inputs'!$B$3)),0)</f>
        <v>0</v>
      </c>
      <c r="P5" s="3">
        <f>F3+0+0</f>
        <v>0</v>
      </c>
      <c r="Q5" s="3">
        <f>H3+0+0+(0+0)*(1-'Inputs'!$B$58)</f>
        <v>0.0</v>
      </c>
      <c r="R5" s="3">
        <f>IF(A5&gt;'Inputs'!$B$4,INDEX($E$2:$E$37,MAX(1,A5-'Inputs'!$B$4)),0)</f>
        <v>0</v>
      </c>
      <c r="S5" s="3">
        <f>J5*'Inputs'!$B$54/12</f>
        <v>41666.666666666664</v>
      </c>
      <c r="T5" s="3">
        <f>R5*'Inputs'!$B$55</f>
        <v>0</v>
      </c>
      <c r="U5" s="3">
        <f>S5*IF(C5&gt;1,'Inputs'!$B$60,0)</f>
        <v>0.0</v>
      </c>
      <c r="V5" s="3">
        <f>SUM(S5:U5)</f>
        <v>41666.666666666664</v>
      </c>
      <c r="W5" s="3">
        <f>J5*'Inputs'!$B$56/12</f>
        <v>25000.0</v>
      </c>
      <c r="X5" s="3">
        <f>J5*('Inputs'!$B$56*'Inputs'!$B$17+'Inputs'!$B$10*'Inputs'!$B$11+'Inputs'!$B$12*'Inputs'!$B$13+'Inputs'!$B$14*'Inputs'!$B$15+'Inputs'!$B$57+'Inputs'!$B$16)/12</f>
        <v>11916.666666666666</v>
      </c>
      <c r="Y5" s="3">
        <f>MAX(Y4,ROUNDUP((J5+K5)/'Inputs'!$B$9,0))</f>
        <v>1</v>
      </c>
      <c r="Z5" s="3">
        <f>Y5*'Inputs'!$B$8/12</f>
        <v>15000.0</v>
      </c>
      <c r="AA5" s="3">
        <f>W5+X5+Z5</f>
        <v>51916.666666666664</v>
      </c>
      <c r="AB5" s="3">
        <f>R5*('Inputs'!$B$19+'Inputs'!$B$20*'Inputs'!$B$21+'Inputs'!$B$22*'Inputs'!$B$11+'Inputs'!$B$23+'Inputs'!$B$24)</f>
        <v>0.0</v>
      </c>
      <c r="AC5" s="3">
        <f>U5*'Inputs'!$B$26</f>
        <v>0.0</v>
      </c>
      <c r="AD5" s="3">
        <f>AA5+AB5+AC5</f>
        <v>51916.666666666664</v>
      </c>
      <c r="AE5" s="3">
        <f>V5-AD5</f>
        <v>-10250.0</v>
      </c>
      <c r="AF5" s="3">
        <f>'Inputs'!$B$27/12</f>
        <v>15000.0</v>
      </c>
      <c r="AG5" s="3">
        <f>'Inputs'!$B$61/12</f>
        <v>50000.0</v>
      </c>
      <c r="AH5" s="3">
        <f>'Inputs'!$B$30/12</f>
        <v>10000.0</v>
      </c>
      <c r="AI5" s="3">
        <f>'Inputs'!$B$33/12</f>
        <v>5000.0</v>
      </c>
      <c r="AJ5" s="3">
        <f>'Inputs'!$B$36/12</f>
        <v>5000.0</v>
      </c>
      <c r="AK5" s="3">
        <f>MAX(1,ROUNDUP((SUM($D$2:$D$13)+0.5*SUM($E$2:$E$13))/'Inputs'!$B$40,0))</f>
        <v>1</v>
      </c>
      <c r="AL5" s="3">
        <f>AK5*'Inputs'!$B$39/12</f>
        <v>15000.0</v>
      </c>
      <c r="AM5" s="3">
        <f>D5*'Inputs'!$B$41+E5*'Inputs'!$B$42</f>
        <v>5000</v>
      </c>
      <c r="AN5" s="3">
        <f>0</f>
        <v>0</v>
      </c>
      <c r="AO5" s="3">
        <f>AF5+AG5+AH5+AI5+AJ5+AL5+AM5+AN5</f>
        <v>105000.0</v>
      </c>
      <c r="AP5" s="3">
        <f>AE5-AO5</f>
        <v>-115250.0</v>
      </c>
      <c r="AQ5" s="3">
        <f>(D5+L5)*'Inputs'!$B$54/4</f>
        <v>0.0</v>
      </c>
      <c r="AR5" s="3">
        <f>(E5*'Inputs'!$B$25+R5*(1-'Inputs'!$B$25))*'Inputs'!$B$55</f>
        <v>55000.0</v>
      </c>
      <c r="AS5" s="3">
        <f>AQ5+AR5+U5</f>
        <v>55000.0</v>
      </c>
      <c r="AT5" s="3">
        <f>IF(A5&gt;'Inputs'!$B$5,INDEX($AS$2:$AS$37,MAX(1,A5-'Inputs'!$B$5)),0)</f>
        <v>0.0</v>
      </c>
      <c r="AU5" s="3">
        <f>'Inputs'!$B$56*(O5*'Inputs'!$B$53+P5*(1-'Inputs'!$B$53)/3+Q5/4)</f>
        <v>0.0</v>
      </c>
      <c r="AV5" s="3">
        <f>(E5+E4)*('Inputs'!$B$19+'Inputs'!$B$20*'Inputs'!$B$21+'Inputs'!$B$22*'Inputs'!$B$11+'Inputs'!$B$23+'Inputs'!$B$24)/2</f>
        <v>94166.66666666667</v>
      </c>
      <c r="AW5" s="3">
        <f>AU5+X5+Z5+AV5+AC5+AO5</f>
        <v>226083.33333333334</v>
      </c>
      <c r="AX5" s="3">
        <f>AT5-AW5</f>
        <v>-226083.33333333334</v>
      </c>
      <c r="AY5" s="3">
        <f>AY4+AX5</f>
        <v>-788083.3333333334</v>
      </c>
      <c r="AZ5" s="3">
        <f>AZ4+AS5-AT5</f>
        <v>110000.0</v>
      </c>
      <c r="BA5" s="3">
        <f>BA4+AQ5+AR5-S5-T5</f>
        <v>151666.6666666667</v>
      </c>
      <c r="BB5" s="3">
        <f>BB4+AU5-W5</f>
        <v>72999.99999999999</v>
      </c>
      <c r="BC5" s="3">
        <f>BC4+AV5-AB5</f>
        <v>141250.0</v>
      </c>
      <c r="BD5" s="3">
        <f>J5*'Inputs'!$B$54</f>
        <v>500000.0</v>
      </c>
      <c r="BE5" s="3">
        <f>(J5+K5)/'Inputs'!$B$9</f>
        <v>0.5</v>
      </c>
      <c r="BF5" s="3">
        <f>J5*'Inputs'!$B$12</f>
        <v>0.2</v>
      </c>
      <c r="BG5" s="3">
        <f>J5*'Inputs'!$B$14</f>
        <v>0.2</v>
      </c>
      <c r="BH5" s="3">
        <f>J5*'Inputs'!$B$10/12+E5*'Inputs'!$B$22</f>
        <v>6.499999999999999</v>
      </c>
      <c r="BI5" s="3">
        <f>'Inputs'!$B$6*'Inputs'!$B$7*(F5*('Inputs'!$B$49+'Inputs'!$B$47)+L5*('Inputs'!$B$49+'Inputs'!$B$48))+E5*'Inputs'!$B$46*'Inputs'!$B$18</f>
        <v>1760.0</v>
      </c>
    </row>
    <row r="6" spans="1:61">
      <c r="A6">
        <v>5</v>
      </c>
      <c r="B6" t="s">
        <v>180</v>
      </c>
      <c r="C6">
        <v>1</v>
      </c>
      <c r="D6" s="2">
        <v>0</v>
      </c>
      <c r="E6" s="2">
        <v>0</v>
      </c>
      <c r="F6" s="3">
        <f>IF(A6&gt;'Inputs'!$B$3,INDEX($D$2:$D$37,MAX(1,A6-'Inputs'!$B$3)),0)</f>
        <v>0</v>
      </c>
      <c r="G6" s="3">
        <f>0+0</f>
        <v>0</v>
      </c>
      <c r="H6" s="3">
        <f>G6*(1-'Inputs'!$B$58)</f>
        <v>0.0</v>
      </c>
      <c r="I6" s="3">
        <f>G6-H6</f>
        <v>0.0</v>
      </c>
      <c r="J6" s="3">
        <f>J5+F6-I6</f>
        <v>1.0</v>
      </c>
      <c r="K6" s="3">
        <f>SUM($D$2:D6)-SUM($F$2:F6)</f>
        <v>0</v>
      </c>
      <c r="L6" s="3">
        <f>F3+H3+0+0+0+0+H6</f>
        <v>0.0</v>
      </c>
      <c r="M6" s="3">
        <f>F6+L6</f>
        <v>0.0</v>
      </c>
      <c r="N6" s="3">
        <f>IF(A6+1&gt;'Inputs'!$B$3,INDEX($D$2:$D$37,MAX(1,A6+1-'Inputs'!$B$3)),0)+F4+H4+0+0+0+0+(0+0)*(1-'Inputs'!$B$58)</f>
        <v>1.0</v>
      </c>
      <c r="O6" s="3">
        <f>IF(A6+1&gt;'Inputs'!$B$3,INDEX($D$2:$D$37,MAX(1,A6+1-'Inputs'!$B$3)),0)</f>
        <v>0</v>
      </c>
      <c r="P6" s="3">
        <f>F4+0+0</f>
        <v>1</v>
      </c>
      <c r="Q6" s="3">
        <f>H4+0+0+(0+0)*(1-'Inputs'!$B$58)</f>
        <v>0.0</v>
      </c>
      <c r="R6" s="3">
        <f>IF(A6&gt;'Inputs'!$B$4,INDEX($E$2:$E$37,MAX(1,A6-'Inputs'!$B$4)),0)</f>
        <v>1</v>
      </c>
      <c r="S6" s="3">
        <f>J6*'Inputs'!$B$54/12</f>
        <v>41666.666666666664</v>
      </c>
      <c r="T6" s="3">
        <f>R6*'Inputs'!$B$55</f>
        <v>110000</v>
      </c>
      <c r="U6" s="3">
        <f>S6*IF(C6&gt;1,'Inputs'!$B$60,0)</f>
        <v>0.0</v>
      </c>
      <c r="V6" s="3">
        <f>SUM(S6:U6)</f>
        <v>151666.66666666666</v>
      </c>
      <c r="W6" s="3">
        <f>J6*'Inputs'!$B$56/12</f>
        <v>25000.0</v>
      </c>
      <c r="X6" s="3">
        <f>J6*('Inputs'!$B$56*'Inputs'!$B$17+'Inputs'!$B$10*'Inputs'!$B$11+'Inputs'!$B$12*'Inputs'!$B$13+'Inputs'!$B$14*'Inputs'!$B$15+'Inputs'!$B$57+'Inputs'!$B$16)/12</f>
        <v>11916.666666666666</v>
      </c>
      <c r="Y6" s="3">
        <f>MAX(Y5,ROUNDUP((J6+K6)/'Inputs'!$B$9,0))</f>
        <v>1</v>
      </c>
      <c r="Z6" s="3">
        <f>Y6*'Inputs'!$B$8/12</f>
        <v>15000.0</v>
      </c>
      <c r="AA6" s="3">
        <f>W6+X6+Z6</f>
        <v>51916.666666666664</v>
      </c>
      <c r="AB6" s="3">
        <f>R6*('Inputs'!$B$19+'Inputs'!$B$20*'Inputs'!$B$21+'Inputs'!$B$22*'Inputs'!$B$11+'Inputs'!$B$23+'Inputs'!$B$24)</f>
        <v>94166.66666666667</v>
      </c>
      <c r="AC6" s="3">
        <f>U6*'Inputs'!$B$26</f>
        <v>0.0</v>
      </c>
      <c r="AD6" s="3">
        <f>AA6+AB6+AC6</f>
        <v>146083.33333333334</v>
      </c>
      <c r="AE6" s="3">
        <f>V6-AD6</f>
        <v>5583.333333333314</v>
      </c>
      <c r="AF6" s="3">
        <f>'Inputs'!$B$27/12</f>
        <v>15000.0</v>
      </c>
      <c r="AG6" s="3">
        <f>'Inputs'!$B$61/12</f>
        <v>50000.0</v>
      </c>
      <c r="AH6" s="3">
        <f>'Inputs'!$B$30/12</f>
        <v>10000.0</v>
      </c>
      <c r="AI6" s="3">
        <f>'Inputs'!$B$33/12</f>
        <v>5000.0</v>
      </c>
      <c r="AJ6" s="3">
        <f>'Inputs'!$B$36/12</f>
        <v>5000.0</v>
      </c>
      <c r="AK6" s="3">
        <f>MAX(1,ROUNDUP((SUM($D$2:$D$13)+0.5*SUM($E$2:$E$13))/'Inputs'!$B$40,0))</f>
        <v>1</v>
      </c>
      <c r="AL6" s="3">
        <f>AK6*'Inputs'!$B$39/12</f>
        <v>15000.0</v>
      </c>
      <c r="AM6" s="3">
        <f>D6*'Inputs'!$B$41+E6*'Inputs'!$B$42</f>
        <v>0</v>
      </c>
      <c r="AN6" s="3">
        <f>0</f>
        <v>0</v>
      </c>
      <c r="AO6" s="3">
        <f>AF6+AG6+AH6+AI6+AJ6+AL6+AM6+AN6</f>
        <v>100000.0</v>
      </c>
      <c r="AP6" s="3">
        <f>AE6-AO6</f>
        <v>-94416.66666666669</v>
      </c>
      <c r="AQ6" s="3">
        <f>(D6+L6)*'Inputs'!$B$54/4</f>
        <v>0.0</v>
      </c>
      <c r="AR6" s="3">
        <f>(E6*'Inputs'!$B$25+R6*(1-'Inputs'!$B$25))*'Inputs'!$B$55</f>
        <v>55000.0</v>
      </c>
      <c r="AS6" s="3">
        <f>AQ6+AR6+U6</f>
        <v>55000.0</v>
      </c>
      <c r="AT6" s="3">
        <f>IF(A6&gt;'Inputs'!$B$5,INDEX($AS$2:$AS$37,MAX(1,A6-'Inputs'!$B$5)),0)</f>
        <v>55000.0</v>
      </c>
      <c r="AU6" s="3">
        <f>'Inputs'!$B$56*(O6*'Inputs'!$B$53+P6*(1-'Inputs'!$B$53)/3+Q6/4)</f>
        <v>59000.00000000001</v>
      </c>
      <c r="AV6" s="3">
        <f>(E6+E5)*('Inputs'!$B$19+'Inputs'!$B$20*'Inputs'!$B$21+'Inputs'!$B$22*'Inputs'!$B$11+'Inputs'!$B$23+'Inputs'!$B$24)/2</f>
        <v>47083.333333333336</v>
      </c>
      <c r="AW6" s="3">
        <f>AU6+X6+Z6+AV6+AC6+AO6</f>
        <v>233000.0</v>
      </c>
      <c r="AX6" s="3">
        <f>AT6-AW6</f>
        <v>-178000.0</v>
      </c>
      <c r="AY6" s="3">
        <f>AY5+AX6</f>
        <v>-966083.3333333334</v>
      </c>
      <c r="AZ6" s="3">
        <f>AZ5+AS6-AT6</f>
        <v>110000.0</v>
      </c>
      <c r="BA6" s="3">
        <f>BA5+AQ6+AR6-S6-T6</f>
        <v>55000.00000000003</v>
      </c>
      <c r="BB6" s="3">
        <f>BB5+AU6-W6</f>
        <v>107000.0</v>
      </c>
      <c r="BC6" s="3">
        <f>BC5+AV6-AB6</f>
        <v>94166.66666666667</v>
      </c>
      <c r="BD6" s="3">
        <f>J6*'Inputs'!$B$54</f>
        <v>500000.0</v>
      </c>
      <c r="BE6" s="3">
        <f>(J6+K6)/'Inputs'!$B$9</f>
        <v>0.5</v>
      </c>
      <c r="BF6" s="3">
        <f>J6*'Inputs'!$B$12</f>
        <v>0.2</v>
      </c>
      <c r="BG6" s="3">
        <f>J6*'Inputs'!$B$14</f>
        <v>0.2</v>
      </c>
      <c r="BH6" s="3">
        <f>J6*'Inputs'!$B$10/12+E6*'Inputs'!$B$22</f>
        <v>0.8333333333333334</v>
      </c>
      <c r="BI6" s="3">
        <f>'Inputs'!$B$6*'Inputs'!$B$7*(F6*('Inputs'!$B$49+'Inputs'!$B$47)+L6*('Inputs'!$B$49+'Inputs'!$B$48))+E6*'Inputs'!$B$46*'Inputs'!$B$18</f>
        <v>0.0</v>
      </c>
    </row>
    <row r="7" spans="1:61">
      <c r="A7">
        <v>6</v>
      </c>
      <c r="B7" t="s">
        <v>181</v>
      </c>
      <c r="C7">
        <v>1</v>
      </c>
      <c r="D7" s="2">
        <v>0</v>
      </c>
      <c r="E7" s="2">
        <v>0</v>
      </c>
      <c r="F7" s="3">
        <f>IF(A7&gt;'Inputs'!$B$3,INDEX($D$2:$D$37,MAX(1,A7-'Inputs'!$B$3)),0)</f>
        <v>0</v>
      </c>
      <c r="G7" s="3">
        <f>0+0</f>
        <v>0</v>
      </c>
      <c r="H7" s="3">
        <f>G7*(1-'Inputs'!$B$58)</f>
        <v>0.0</v>
      </c>
      <c r="I7" s="3">
        <f>G7-H7</f>
        <v>0.0</v>
      </c>
      <c r="J7" s="3">
        <f>J6+F7-I7</f>
        <v>1.0</v>
      </c>
      <c r="K7" s="3">
        <f>SUM($D$2:D7)-SUM($F$2:F7)</f>
        <v>0</v>
      </c>
      <c r="L7" s="3">
        <f>F4+H4+0+0+0+0+H7</f>
        <v>1.0</v>
      </c>
      <c r="M7" s="3">
        <f>F7+L7</f>
        <v>1.0</v>
      </c>
      <c r="N7" s="3">
        <f>IF(A7+1&gt;'Inputs'!$B$3,INDEX($D$2:$D$37,MAX(1,A7+1-'Inputs'!$B$3)),0)+F5+H5+F2+H2+0+0+(0+0)*(1-'Inputs'!$B$58)</f>
        <v>0.0</v>
      </c>
      <c r="O7" s="3">
        <f>IF(A7+1&gt;'Inputs'!$B$3,INDEX($D$2:$D$37,MAX(1,A7+1-'Inputs'!$B$3)),0)</f>
        <v>0</v>
      </c>
      <c r="P7" s="3">
        <f>F5+F2+0</f>
        <v>0</v>
      </c>
      <c r="Q7" s="3">
        <f>H5+H2+0+(0+0)*(1-'Inputs'!$B$58)</f>
        <v>0.0</v>
      </c>
      <c r="R7" s="3">
        <f>IF(A7&gt;'Inputs'!$B$4,INDEX($E$2:$E$37,MAX(1,A7-'Inputs'!$B$4)),0)</f>
        <v>1</v>
      </c>
      <c r="S7" s="3">
        <f>J7*'Inputs'!$B$54/12</f>
        <v>41666.666666666664</v>
      </c>
      <c r="T7" s="3">
        <f>R7*'Inputs'!$B$55</f>
        <v>110000</v>
      </c>
      <c r="U7" s="3">
        <f>S7*IF(C7&gt;1,'Inputs'!$B$60,0)</f>
        <v>0.0</v>
      </c>
      <c r="V7" s="3">
        <f>SUM(S7:U7)</f>
        <v>151666.66666666666</v>
      </c>
      <c r="W7" s="3">
        <f>J7*'Inputs'!$B$56/12</f>
        <v>25000.0</v>
      </c>
      <c r="X7" s="3">
        <f>J7*('Inputs'!$B$56*'Inputs'!$B$17+'Inputs'!$B$10*'Inputs'!$B$11+'Inputs'!$B$12*'Inputs'!$B$13+'Inputs'!$B$14*'Inputs'!$B$15+'Inputs'!$B$57+'Inputs'!$B$16)/12</f>
        <v>11916.666666666666</v>
      </c>
      <c r="Y7" s="3">
        <f>MAX(Y6,ROUNDUP((J7+K7)/'Inputs'!$B$9,0))</f>
        <v>1</v>
      </c>
      <c r="Z7" s="3">
        <f>Y7*'Inputs'!$B$8/12</f>
        <v>15000.0</v>
      </c>
      <c r="AA7" s="3">
        <f>W7+X7+Z7</f>
        <v>51916.666666666664</v>
      </c>
      <c r="AB7" s="3">
        <f>R7*('Inputs'!$B$19+'Inputs'!$B$20*'Inputs'!$B$21+'Inputs'!$B$22*'Inputs'!$B$11+'Inputs'!$B$23+'Inputs'!$B$24)</f>
        <v>94166.66666666667</v>
      </c>
      <c r="AC7" s="3">
        <f>U7*'Inputs'!$B$26</f>
        <v>0.0</v>
      </c>
      <c r="AD7" s="3">
        <f>AA7+AB7+AC7</f>
        <v>146083.33333333334</v>
      </c>
      <c r="AE7" s="3">
        <f>V7-AD7</f>
        <v>5583.333333333314</v>
      </c>
      <c r="AF7" s="3">
        <f>'Inputs'!$B$27/12</f>
        <v>15000.0</v>
      </c>
      <c r="AG7" s="3">
        <f>'Inputs'!$B$61/12</f>
        <v>50000.0</v>
      </c>
      <c r="AH7" s="3">
        <f>'Inputs'!$B$30/12</f>
        <v>10000.0</v>
      </c>
      <c r="AI7" s="3">
        <f>'Inputs'!$B$33/12</f>
        <v>5000.0</v>
      </c>
      <c r="AJ7" s="3">
        <f>'Inputs'!$B$36/12</f>
        <v>5000.0</v>
      </c>
      <c r="AK7" s="3">
        <f>MAX(1,ROUNDUP((SUM($D$2:$D$13)+0.5*SUM($E$2:$E$13))/'Inputs'!$B$40,0))</f>
        <v>1</v>
      </c>
      <c r="AL7" s="3">
        <f>AK7*'Inputs'!$B$39/12</f>
        <v>15000.0</v>
      </c>
      <c r="AM7" s="3">
        <f>D7*'Inputs'!$B$41+E7*'Inputs'!$B$42</f>
        <v>0</v>
      </c>
      <c r="AN7" s="3">
        <f>0</f>
        <v>0</v>
      </c>
      <c r="AO7" s="3">
        <f>AF7+AG7+AH7+AI7+AJ7+AL7+AM7+AN7</f>
        <v>100000.0</v>
      </c>
      <c r="AP7" s="3">
        <f>AE7-AO7</f>
        <v>-94416.66666666669</v>
      </c>
      <c r="AQ7" s="3">
        <f>(D7+L7)*'Inputs'!$B$54/4</f>
        <v>125000.0</v>
      </c>
      <c r="AR7" s="3">
        <f>(E7*'Inputs'!$B$25+R7*(1-'Inputs'!$B$25))*'Inputs'!$B$55</f>
        <v>55000.0</v>
      </c>
      <c r="AS7" s="3">
        <f>AQ7+AR7+U7</f>
        <v>180000.0</v>
      </c>
      <c r="AT7" s="3">
        <f>IF(A7&gt;'Inputs'!$B$5,INDEX($AS$2:$AS$37,MAX(1,A7-'Inputs'!$B$5)),0)</f>
        <v>55000.0</v>
      </c>
      <c r="AU7" s="3">
        <f>'Inputs'!$B$56*(O7*'Inputs'!$B$53+P7*(1-'Inputs'!$B$53)/3+Q7/4)</f>
        <v>0.0</v>
      </c>
      <c r="AV7" s="3">
        <f>(E7+E6)*('Inputs'!$B$19+'Inputs'!$B$20*'Inputs'!$B$21+'Inputs'!$B$22*'Inputs'!$B$11+'Inputs'!$B$23+'Inputs'!$B$24)/2</f>
        <v>0.0</v>
      </c>
      <c r="AW7" s="3">
        <f>AU7+X7+Z7+AV7+AC7+AO7</f>
        <v>126916.66666666666</v>
      </c>
      <c r="AX7" s="3">
        <f>AT7-AW7</f>
        <v>-71916.66666666666</v>
      </c>
      <c r="AY7" s="3">
        <f>AY6+AX7</f>
        <v>-1038000.0</v>
      </c>
      <c r="AZ7" s="3">
        <f>AZ6+AS7-AT7</f>
        <v>235000.0</v>
      </c>
      <c r="BA7" s="3">
        <f>BA6+AQ7+AR7-S7-T7</f>
        <v>83333.33333333337</v>
      </c>
      <c r="BB7" s="3">
        <f>BB6+AU7-W7</f>
        <v>82000.0</v>
      </c>
      <c r="BC7" s="3">
        <f>BC6+AV7-AB7</f>
        <v>0.0</v>
      </c>
      <c r="BD7" s="3">
        <f>J7*'Inputs'!$B$54</f>
        <v>500000.0</v>
      </c>
      <c r="BE7" s="3">
        <f>(J7+K7)/'Inputs'!$B$9</f>
        <v>0.5</v>
      </c>
      <c r="BF7" s="3">
        <f>J7*'Inputs'!$B$12</f>
        <v>0.2</v>
      </c>
      <c r="BG7" s="3">
        <f>J7*'Inputs'!$B$14</f>
        <v>0.2</v>
      </c>
      <c r="BH7" s="3">
        <f>J7*'Inputs'!$B$10/12+E7*'Inputs'!$B$22</f>
        <v>0.8333333333333334</v>
      </c>
      <c r="BI7" s="3">
        <f>'Inputs'!$B$6*'Inputs'!$B$7*(F7*('Inputs'!$B$49+'Inputs'!$B$47)+L7*('Inputs'!$B$49+'Inputs'!$B$48))+E7*'Inputs'!$B$46*'Inputs'!$B$18</f>
        <v>1920.0</v>
      </c>
    </row>
    <row r="8" spans="1:61">
      <c r="A8">
        <v>7</v>
      </c>
      <c r="B8" t="s">
        <v>182</v>
      </c>
      <c r="C8">
        <v>1</v>
      </c>
      <c r="D8" s="2">
        <v>0</v>
      </c>
      <c r="E8" s="2">
        <v>0</v>
      </c>
      <c r="F8" s="3">
        <f>IF(A8&gt;'Inputs'!$B$3,INDEX($D$2:$D$37,MAX(1,A8-'Inputs'!$B$3)),0)</f>
        <v>0</v>
      </c>
      <c r="G8" s="3">
        <f>0+0</f>
        <v>0</v>
      </c>
      <c r="H8" s="3">
        <f>G8*(1-'Inputs'!$B$58)</f>
        <v>0.0</v>
      </c>
      <c r="I8" s="3">
        <f>G8-H8</f>
        <v>0.0</v>
      </c>
      <c r="J8" s="3">
        <f>J7+F8-I8</f>
        <v>1.0</v>
      </c>
      <c r="K8" s="3">
        <f>SUM($D$2:D8)-SUM($F$2:F8)</f>
        <v>0</v>
      </c>
      <c r="L8" s="3">
        <f>F5+H5+F2+H2+0+0+H8</f>
        <v>0.0</v>
      </c>
      <c r="M8" s="3">
        <f>F8+L8</f>
        <v>0.0</v>
      </c>
      <c r="N8" s="3">
        <f>IF(A8+1&gt;'Inputs'!$B$3,INDEX($D$2:$D$37,MAX(1,A8+1-'Inputs'!$B$3)),0)+F6+H6+F3+H3+0+0+(0+0)*(1-'Inputs'!$B$58)</f>
        <v>0.0</v>
      </c>
      <c r="O8" s="3">
        <f>IF(A8+1&gt;'Inputs'!$B$3,INDEX($D$2:$D$37,MAX(1,A8+1-'Inputs'!$B$3)),0)</f>
        <v>0</v>
      </c>
      <c r="P8" s="3">
        <f>F6+F3+0</f>
        <v>0</v>
      </c>
      <c r="Q8" s="3">
        <f>H6+H3+0+(0+0)*(1-'Inputs'!$B$58)</f>
        <v>0.0</v>
      </c>
      <c r="R8" s="3">
        <f>IF(A8&gt;'Inputs'!$B$4,INDEX($E$2:$E$37,MAX(1,A8-'Inputs'!$B$4)),0)</f>
        <v>0</v>
      </c>
      <c r="S8" s="3">
        <f>J8*'Inputs'!$B$54/12</f>
        <v>41666.666666666664</v>
      </c>
      <c r="T8" s="3">
        <f>R8*'Inputs'!$B$55</f>
        <v>0</v>
      </c>
      <c r="U8" s="3">
        <f>S8*IF(C8&gt;1,'Inputs'!$B$60,0)</f>
        <v>0.0</v>
      </c>
      <c r="V8" s="3">
        <f>SUM(S8:U8)</f>
        <v>41666.666666666664</v>
      </c>
      <c r="W8" s="3">
        <f>J8*'Inputs'!$B$56/12</f>
        <v>25000.0</v>
      </c>
      <c r="X8" s="3">
        <f>J8*('Inputs'!$B$56*'Inputs'!$B$17+'Inputs'!$B$10*'Inputs'!$B$11+'Inputs'!$B$12*'Inputs'!$B$13+'Inputs'!$B$14*'Inputs'!$B$15+'Inputs'!$B$57+'Inputs'!$B$16)/12</f>
        <v>11916.666666666666</v>
      </c>
      <c r="Y8" s="3">
        <f>MAX(Y7,ROUNDUP((J8+K8)/'Inputs'!$B$9,0))</f>
        <v>1</v>
      </c>
      <c r="Z8" s="3">
        <f>Y8*'Inputs'!$B$8/12</f>
        <v>15000.0</v>
      </c>
      <c r="AA8" s="3">
        <f>W8+X8+Z8</f>
        <v>51916.666666666664</v>
      </c>
      <c r="AB8" s="3">
        <f>R8*('Inputs'!$B$19+'Inputs'!$B$20*'Inputs'!$B$21+'Inputs'!$B$22*'Inputs'!$B$11+'Inputs'!$B$23+'Inputs'!$B$24)</f>
        <v>0.0</v>
      </c>
      <c r="AC8" s="3">
        <f>U8*'Inputs'!$B$26</f>
        <v>0.0</v>
      </c>
      <c r="AD8" s="3">
        <f>AA8+AB8+AC8</f>
        <v>51916.666666666664</v>
      </c>
      <c r="AE8" s="3">
        <f>V8-AD8</f>
        <v>-10250.0</v>
      </c>
      <c r="AF8" s="3">
        <f>'Inputs'!$B$27/12</f>
        <v>15000.0</v>
      </c>
      <c r="AG8" s="3">
        <f>'Inputs'!$B$61/12</f>
        <v>50000.0</v>
      </c>
      <c r="AH8" s="3">
        <f>'Inputs'!$B$30/12</f>
        <v>10000.0</v>
      </c>
      <c r="AI8" s="3">
        <f>'Inputs'!$B$33/12</f>
        <v>5000.0</v>
      </c>
      <c r="AJ8" s="3">
        <f>'Inputs'!$B$36/12</f>
        <v>5000.0</v>
      </c>
      <c r="AK8" s="3">
        <f>MAX(1,ROUNDUP((SUM($D$2:$D$13)+0.5*SUM($E$2:$E$13))/'Inputs'!$B$40,0))</f>
        <v>1</v>
      </c>
      <c r="AL8" s="3">
        <f>AK8*'Inputs'!$B$39/12</f>
        <v>15000.0</v>
      </c>
      <c r="AM8" s="3">
        <f>D8*'Inputs'!$B$41+E8*'Inputs'!$B$42</f>
        <v>0</v>
      </c>
      <c r="AN8" s="3">
        <f>0</f>
        <v>0</v>
      </c>
      <c r="AO8" s="3">
        <f>AF8+AG8+AH8+AI8+AJ8+AL8+AM8+AN8</f>
        <v>100000.0</v>
      </c>
      <c r="AP8" s="3">
        <f>AE8-AO8</f>
        <v>-110250.0</v>
      </c>
      <c r="AQ8" s="3">
        <f>(D8+L8)*'Inputs'!$B$54/4</f>
        <v>0.0</v>
      </c>
      <c r="AR8" s="3">
        <f>(E8*'Inputs'!$B$25+R8*(1-'Inputs'!$B$25))*'Inputs'!$B$55</f>
        <v>0.0</v>
      </c>
      <c r="AS8" s="3">
        <f>AQ8+AR8+U8</f>
        <v>0.0</v>
      </c>
      <c r="AT8" s="3">
        <f>IF(A8&gt;'Inputs'!$B$5,INDEX($AS$2:$AS$37,MAX(1,A8-'Inputs'!$B$5)),0)</f>
        <v>55000.0</v>
      </c>
      <c r="AU8" s="3">
        <f>'Inputs'!$B$56*(O8*'Inputs'!$B$53+P8*(1-'Inputs'!$B$53)/3+Q8/4)</f>
        <v>0.0</v>
      </c>
      <c r="AV8" s="3">
        <f>(E8+E7)*('Inputs'!$B$19+'Inputs'!$B$20*'Inputs'!$B$21+'Inputs'!$B$22*'Inputs'!$B$11+'Inputs'!$B$23+'Inputs'!$B$24)/2</f>
        <v>0.0</v>
      </c>
      <c r="AW8" s="3">
        <f>AU8+X8+Z8+AV8+AC8+AO8</f>
        <v>126916.66666666666</v>
      </c>
      <c r="AX8" s="3">
        <f>AT8-AW8</f>
        <v>-71916.66666666666</v>
      </c>
      <c r="AY8" s="3">
        <f>AY7+AX8</f>
        <v>-1109916.6666666667</v>
      </c>
      <c r="AZ8" s="3">
        <f>AZ7+AS8-AT8</f>
        <v>180000.0</v>
      </c>
      <c r="BA8" s="3">
        <f>BA7+AQ8+AR8-S8-T8</f>
        <v>41666.66666666671</v>
      </c>
      <c r="BB8" s="3">
        <f>BB7+AU8-W8</f>
        <v>57000.0</v>
      </c>
      <c r="BC8" s="3">
        <f>BC7+AV8-AB8</f>
        <v>0.0</v>
      </c>
      <c r="BD8" s="3">
        <f>J8*'Inputs'!$B$54</f>
        <v>500000.0</v>
      </c>
      <c r="BE8" s="3">
        <f>(J8+K8)/'Inputs'!$B$9</f>
        <v>0.5</v>
      </c>
      <c r="BF8" s="3">
        <f>J8*'Inputs'!$B$12</f>
        <v>0.2</v>
      </c>
      <c r="BG8" s="3">
        <f>J8*'Inputs'!$B$14</f>
        <v>0.2</v>
      </c>
      <c r="BH8" s="3">
        <f>J8*'Inputs'!$B$10/12+E8*'Inputs'!$B$22</f>
        <v>0.8333333333333334</v>
      </c>
      <c r="BI8" s="3">
        <f>'Inputs'!$B$6*'Inputs'!$B$7*(F8*('Inputs'!$B$49+'Inputs'!$B$47)+L8*('Inputs'!$B$49+'Inputs'!$B$48))+E8*'Inputs'!$B$46*'Inputs'!$B$18</f>
        <v>0.0</v>
      </c>
    </row>
    <row r="9" spans="1:61">
      <c r="A9">
        <v>8</v>
      </c>
      <c r="B9" t="s">
        <v>183</v>
      </c>
      <c r="C9">
        <v>1</v>
      </c>
      <c r="D9" s="2">
        <v>0</v>
      </c>
      <c r="E9" s="2">
        <v>0</v>
      </c>
      <c r="F9" s="3">
        <f>IF(A9&gt;'Inputs'!$B$3,INDEX($D$2:$D$37,MAX(1,A9-'Inputs'!$B$3)),0)</f>
        <v>0</v>
      </c>
      <c r="G9" s="3">
        <f>0+0</f>
        <v>0</v>
      </c>
      <c r="H9" s="3">
        <f>G9*(1-'Inputs'!$B$58)</f>
        <v>0.0</v>
      </c>
      <c r="I9" s="3">
        <f>G9-H9</f>
        <v>0.0</v>
      </c>
      <c r="J9" s="3">
        <f>J8+F9-I9</f>
        <v>1.0</v>
      </c>
      <c r="K9" s="3">
        <f>SUM($D$2:D9)-SUM($F$2:F9)</f>
        <v>0</v>
      </c>
      <c r="L9" s="3">
        <f>F6+H6+F3+H3+0+0+H9</f>
        <v>0.0</v>
      </c>
      <c r="M9" s="3">
        <f>F9+L9</f>
        <v>0.0</v>
      </c>
      <c r="N9" s="3">
        <f>IF(A9+1&gt;'Inputs'!$B$3,INDEX($D$2:$D$37,MAX(1,A9+1-'Inputs'!$B$3)),0)+F7+H7+F4+H4+0+0+(0+0)*(1-'Inputs'!$B$58)</f>
        <v>1.0</v>
      </c>
      <c r="O9" s="3">
        <f>IF(A9+1&gt;'Inputs'!$B$3,INDEX($D$2:$D$37,MAX(1,A9+1-'Inputs'!$B$3)),0)</f>
        <v>0</v>
      </c>
      <c r="P9" s="3">
        <f>F7+F4+0</f>
        <v>1</v>
      </c>
      <c r="Q9" s="3">
        <f>H7+H4+0+(0+0)*(1-'Inputs'!$B$58)</f>
        <v>0.0</v>
      </c>
      <c r="R9" s="3">
        <f>IF(A9&gt;'Inputs'!$B$4,INDEX($E$2:$E$37,MAX(1,A9-'Inputs'!$B$4)),0)</f>
        <v>0</v>
      </c>
      <c r="S9" s="3">
        <f>J9*'Inputs'!$B$54/12</f>
        <v>41666.666666666664</v>
      </c>
      <c r="T9" s="3">
        <f>R9*'Inputs'!$B$55</f>
        <v>0</v>
      </c>
      <c r="U9" s="3">
        <f>S9*IF(C9&gt;1,'Inputs'!$B$60,0)</f>
        <v>0.0</v>
      </c>
      <c r="V9" s="3">
        <f>SUM(S9:U9)</f>
        <v>41666.666666666664</v>
      </c>
      <c r="W9" s="3">
        <f>J9*'Inputs'!$B$56/12</f>
        <v>25000.0</v>
      </c>
      <c r="X9" s="3">
        <f>J9*('Inputs'!$B$56*'Inputs'!$B$17+'Inputs'!$B$10*'Inputs'!$B$11+'Inputs'!$B$12*'Inputs'!$B$13+'Inputs'!$B$14*'Inputs'!$B$15+'Inputs'!$B$57+'Inputs'!$B$16)/12</f>
        <v>11916.666666666666</v>
      </c>
      <c r="Y9" s="3">
        <f>MAX(Y8,ROUNDUP((J9+K9)/'Inputs'!$B$9,0))</f>
        <v>1</v>
      </c>
      <c r="Z9" s="3">
        <f>Y9*'Inputs'!$B$8/12</f>
        <v>15000.0</v>
      </c>
      <c r="AA9" s="3">
        <f>W9+X9+Z9</f>
        <v>51916.666666666664</v>
      </c>
      <c r="AB9" s="3">
        <f>R9*('Inputs'!$B$19+'Inputs'!$B$20*'Inputs'!$B$21+'Inputs'!$B$22*'Inputs'!$B$11+'Inputs'!$B$23+'Inputs'!$B$24)</f>
        <v>0.0</v>
      </c>
      <c r="AC9" s="3">
        <f>U9*'Inputs'!$B$26</f>
        <v>0.0</v>
      </c>
      <c r="AD9" s="3">
        <f>AA9+AB9+AC9</f>
        <v>51916.666666666664</v>
      </c>
      <c r="AE9" s="3">
        <f>V9-AD9</f>
        <v>-10250.0</v>
      </c>
      <c r="AF9" s="3">
        <f>'Inputs'!$B$27/12</f>
        <v>15000.0</v>
      </c>
      <c r="AG9" s="3">
        <f>'Inputs'!$B$61/12</f>
        <v>50000.0</v>
      </c>
      <c r="AH9" s="3">
        <f>'Inputs'!$B$30/12</f>
        <v>10000.0</v>
      </c>
      <c r="AI9" s="3">
        <f>'Inputs'!$B$33/12</f>
        <v>5000.0</v>
      </c>
      <c r="AJ9" s="3">
        <f>'Inputs'!$B$36/12</f>
        <v>5000.0</v>
      </c>
      <c r="AK9" s="3">
        <f>MAX(1,ROUNDUP((SUM($D$2:$D$13)+0.5*SUM($E$2:$E$13))/'Inputs'!$B$40,0))</f>
        <v>1</v>
      </c>
      <c r="AL9" s="3">
        <f>AK9*'Inputs'!$B$39/12</f>
        <v>15000.0</v>
      </c>
      <c r="AM9" s="3">
        <f>D9*'Inputs'!$B$41+E9*'Inputs'!$B$42</f>
        <v>0</v>
      </c>
      <c r="AN9" s="3">
        <f>0</f>
        <v>0</v>
      </c>
      <c r="AO9" s="3">
        <f>AF9+AG9+AH9+AI9+AJ9+AL9+AM9+AN9</f>
        <v>100000.0</v>
      </c>
      <c r="AP9" s="3">
        <f>AE9-AO9</f>
        <v>-110250.0</v>
      </c>
      <c r="AQ9" s="3">
        <f>(D9+L9)*'Inputs'!$B$54/4</f>
        <v>0.0</v>
      </c>
      <c r="AR9" s="3">
        <f>(E9*'Inputs'!$B$25+R9*(1-'Inputs'!$B$25))*'Inputs'!$B$55</f>
        <v>0.0</v>
      </c>
      <c r="AS9" s="3">
        <f>AQ9+AR9+U9</f>
        <v>0.0</v>
      </c>
      <c r="AT9" s="3">
        <f>IF(A9&gt;'Inputs'!$B$5,INDEX($AS$2:$AS$37,MAX(1,A9-'Inputs'!$B$5)),0)</f>
        <v>180000.0</v>
      </c>
      <c r="AU9" s="3">
        <f>'Inputs'!$B$56*(O9*'Inputs'!$B$53+P9*(1-'Inputs'!$B$53)/3+Q9/4)</f>
        <v>59000.00000000001</v>
      </c>
      <c r="AV9" s="3">
        <f>(E9+E8)*('Inputs'!$B$19+'Inputs'!$B$20*'Inputs'!$B$21+'Inputs'!$B$22*'Inputs'!$B$11+'Inputs'!$B$23+'Inputs'!$B$24)/2</f>
        <v>0.0</v>
      </c>
      <c r="AW9" s="3">
        <f>AU9+X9+Z9+AV9+AC9+AO9</f>
        <v>185916.6666666667</v>
      </c>
      <c r="AX9" s="3">
        <f>AT9-AW9</f>
        <v>-5916.666666666686</v>
      </c>
      <c r="AY9" s="3">
        <f>AY8+AX9</f>
        <v>-1115833.3333333335</v>
      </c>
      <c r="AZ9" s="3">
        <f>AZ8+AS9-AT9</f>
        <v>0.0</v>
      </c>
      <c r="BA9" s="3">
        <f>BA8+AQ9+AR9-S9-T9</f>
        <v>4.3655745685100555e-11</v>
      </c>
      <c r="BB9" s="3">
        <f>BB8+AU9-W9</f>
        <v>91000.0</v>
      </c>
      <c r="BC9" s="3">
        <f>BC8+AV9-AB9</f>
        <v>0.0</v>
      </c>
      <c r="BD9" s="3">
        <f>J9*'Inputs'!$B$54</f>
        <v>500000.0</v>
      </c>
      <c r="BE9" s="3">
        <f>(J9+K9)/'Inputs'!$B$9</f>
        <v>0.5</v>
      </c>
      <c r="BF9" s="3">
        <f>J9*'Inputs'!$B$12</f>
        <v>0.2</v>
      </c>
      <c r="BG9" s="3">
        <f>J9*'Inputs'!$B$14</f>
        <v>0.2</v>
      </c>
      <c r="BH9" s="3">
        <f>J9*'Inputs'!$B$10/12+E9*'Inputs'!$B$22</f>
        <v>0.8333333333333334</v>
      </c>
      <c r="BI9" s="3">
        <f>'Inputs'!$B$6*'Inputs'!$B$7*(F9*('Inputs'!$B$49+'Inputs'!$B$47)+L9*('Inputs'!$B$49+'Inputs'!$B$48))+E9*'Inputs'!$B$46*'Inputs'!$B$18</f>
        <v>0.0</v>
      </c>
    </row>
    <row r="10" spans="1:61">
      <c r="A10">
        <v>9</v>
      </c>
      <c r="B10" t="s">
        <v>184</v>
      </c>
      <c r="C10">
        <v>1</v>
      </c>
      <c r="D10" s="2">
        <v>0</v>
      </c>
      <c r="E10" s="2">
        <v>0</v>
      </c>
      <c r="F10" s="3">
        <f>IF(A10&gt;'Inputs'!$B$3,INDEX($D$2:$D$37,MAX(1,A10-'Inputs'!$B$3)),0)</f>
        <v>0</v>
      </c>
      <c r="G10" s="3">
        <f>0+0</f>
        <v>0</v>
      </c>
      <c r="H10" s="3">
        <f>G10*(1-'Inputs'!$B$58)</f>
        <v>0.0</v>
      </c>
      <c r="I10" s="3">
        <f>G10-H10</f>
        <v>0.0</v>
      </c>
      <c r="J10" s="3">
        <f>J9+F10-I10</f>
        <v>1.0</v>
      </c>
      <c r="K10" s="3">
        <f>SUM($D$2:D10)-SUM($F$2:F10)</f>
        <v>0</v>
      </c>
      <c r="L10" s="3">
        <f>F7+H7+F4+H4+0+0+H10</f>
        <v>1.0</v>
      </c>
      <c r="M10" s="3">
        <f>F10+L10</f>
        <v>1.0</v>
      </c>
      <c r="N10" s="3">
        <f>IF(A10+1&gt;'Inputs'!$B$3,INDEX($D$2:$D$37,MAX(1,A10+1-'Inputs'!$B$3)),0)+F8+H8+F5+H5+F2+H2+(0+0)*(1-'Inputs'!$B$58)</f>
        <v>0.0</v>
      </c>
      <c r="O10" s="3">
        <f>IF(A10+1&gt;'Inputs'!$B$3,INDEX($D$2:$D$37,MAX(1,A10+1-'Inputs'!$B$3)),0)</f>
        <v>0</v>
      </c>
      <c r="P10" s="3">
        <f>F8+F5+F2</f>
        <v>0</v>
      </c>
      <c r="Q10" s="3">
        <f>H8+H5+H2+(0+0)*(1-'Inputs'!$B$58)</f>
        <v>0.0</v>
      </c>
      <c r="R10" s="3">
        <f>IF(A10&gt;'Inputs'!$B$4,INDEX($E$2:$E$37,MAX(1,A10-'Inputs'!$B$4)),0)</f>
        <v>0</v>
      </c>
      <c r="S10" s="3">
        <f>J10*'Inputs'!$B$54/12</f>
        <v>41666.666666666664</v>
      </c>
      <c r="T10" s="3">
        <f>R10*'Inputs'!$B$55</f>
        <v>0</v>
      </c>
      <c r="U10" s="3">
        <f>S10*IF(C10&gt;1,'Inputs'!$B$60,0)</f>
        <v>0.0</v>
      </c>
      <c r="V10" s="3">
        <f>SUM(S10:U10)</f>
        <v>41666.666666666664</v>
      </c>
      <c r="W10" s="3">
        <f>J10*'Inputs'!$B$56/12</f>
        <v>25000.0</v>
      </c>
      <c r="X10" s="3">
        <f>J10*('Inputs'!$B$56*'Inputs'!$B$17+'Inputs'!$B$10*'Inputs'!$B$11+'Inputs'!$B$12*'Inputs'!$B$13+'Inputs'!$B$14*'Inputs'!$B$15+'Inputs'!$B$57+'Inputs'!$B$16)/12</f>
        <v>11916.666666666666</v>
      </c>
      <c r="Y10" s="3">
        <f>MAX(Y9,ROUNDUP((J10+K10)/'Inputs'!$B$9,0))</f>
        <v>1</v>
      </c>
      <c r="Z10" s="3">
        <f>Y10*'Inputs'!$B$8/12</f>
        <v>15000.0</v>
      </c>
      <c r="AA10" s="3">
        <f>W10+X10+Z10</f>
        <v>51916.666666666664</v>
      </c>
      <c r="AB10" s="3">
        <f>R10*('Inputs'!$B$19+'Inputs'!$B$20*'Inputs'!$B$21+'Inputs'!$B$22*'Inputs'!$B$11+'Inputs'!$B$23+'Inputs'!$B$24)</f>
        <v>0.0</v>
      </c>
      <c r="AC10" s="3">
        <f>U10*'Inputs'!$B$26</f>
        <v>0.0</v>
      </c>
      <c r="AD10" s="3">
        <f>AA10+AB10+AC10</f>
        <v>51916.666666666664</v>
      </c>
      <c r="AE10" s="3">
        <f>V10-AD10</f>
        <v>-10250.0</v>
      </c>
      <c r="AF10" s="3">
        <f>'Inputs'!$B$27/12</f>
        <v>15000.0</v>
      </c>
      <c r="AG10" s="3">
        <f>'Inputs'!$B$61/12</f>
        <v>50000.0</v>
      </c>
      <c r="AH10" s="3">
        <f>'Inputs'!$B$30/12</f>
        <v>10000.0</v>
      </c>
      <c r="AI10" s="3">
        <f>'Inputs'!$B$33/12</f>
        <v>5000.0</v>
      </c>
      <c r="AJ10" s="3">
        <f>'Inputs'!$B$36/12</f>
        <v>5000.0</v>
      </c>
      <c r="AK10" s="3">
        <f>MAX(1,ROUNDUP((SUM($D$2:$D$13)+0.5*SUM($E$2:$E$13))/'Inputs'!$B$40,0))</f>
        <v>1</v>
      </c>
      <c r="AL10" s="3">
        <f>AK10*'Inputs'!$B$39/12</f>
        <v>15000.0</v>
      </c>
      <c r="AM10" s="3">
        <f>D10*'Inputs'!$B$41+E10*'Inputs'!$B$42</f>
        <v>0</v>
      </c>
      <c r="AN10" s="3">
        <f>0</f>
        <v>0</v>
      </c>
      <c r="AO10" s="3">
        <f>AF10+AG10+AH10+AI10+AJ10+AL10+AM10+AN10</f>
        <v>100000.0</v>
      </c>
      <c r="AP10" s="3">
        <f>AE10-AO10</f>
        <v>-110250.0</v>
      </c>
      <c r="AQ10" s="3">
        <f>(D10+L10)*'Inputs'!$B$54/4</f>
        <v>125000.0</v>
      </c>
      <c r="AR10" s="3">
        <f>(E10*'Inputs'!$B$25+R10*(1-'Inputs'!$B$25))*'Inputs'!$B$55</f>
        <v>0.0</v>
      </c>
      <c r="AS10" s="3">
        <f>AQ10+AR10+U10</f>
        <v>125000.0</v>
      </c>
      <c r="AT10" s="3">
        <f>IF(A10&gt;'Inputs'!$B$5,INDEX($AS$2:$AS$37,MAX(1,A10-'Inputs'!$B$5)),0)</f>
        <v>0.0</v>
      </c>
      <c r="AU10" s="3">
        <f>'Inputs'!$B$56*(O10*'Inputs'!$B$53+P10*(1-'Inputs'!$B$53)/3+Q10/4)</f>
        <v>0.0</v>
      </c>
      <c r="AV10" s="3">
        <f>(E10+E9)*('Inputs'!$B$19+'Inputs'!$B$20*'Inputs'!$B$21+'Inputs'!$B$22*'Inputs'!$B$11+'Inputs'!$B$23+'Inputs'!$B$24)/2</f>
        <v>0.0</v>
      </c>
      <c r="AW10" s="3">
        <f>AU10+X10+Z10+AV10+AC10+AO10</f>
        <v>126916.66666666666</v>
      </c>
      <c r="AX10" s="3">
        <f>AT10-AW10</f>
        <v>-126916.66666666666</v>
      </c>
      <c r="AY10" s="3">
        <f>AY9+AX10</f>
        <v>-1242750.0000000002</v>
      </c>
      <c r="AZ10" s="3">
        <f>AZ9+AS10-AT10</f>
        <v>125000.0</v>
      </c>
      <c r="BA10" s="3">
        <f>BA9+AQ10+AR10-S10-T10</f>
        <v>83333.33333333337</v>
      </c>
      <c r="BB10" s="3">
        <f>BB9+AU10-W10</f>
        <v>66000.0</v>
      </c>
      <c r="BC10" s="3">
        <f>BC9+AV10-AB10</f>
        <v>0.0</v>
      </c>
      <c r="BD10" s="3">
        <f>J10*'Inputs'!$B$54</f>
        <v>500000.0</v>
      </c>
      <c r="BE10" s="3">
        <f>(J10+K10)/'Inputs'!$B$9</f>
        <v>0.5</v>
      </c>
      <c r="BF10" s="3">
        <f>J10*'Inputs'!$B$12</f>
        <v>0.2</v>
      </c>
      <c r="BG10" s="3">
        <f>J10*'Inputs'!$B$14</f>
        <v>0.2</v>
      </c>
      <c r="BH10" s="3">
        <f>J10*'Inputs'!$B$10/12+E10*'Inputs'!$B$22</f>
        <v>0.8333333333333334</v>
      </c>
      <c r="BI10" s="3">
        <f>'Inputs'!$B$6*'Inputs'!$B$7*(F10*('Inputs'!$B$49+'Inputs'!$B$47)+L10*('Inputs'!$B$49+'Inputs'!$B$48))+E10*'Inputs'!$B$46*'Inputs'!$B$18</f>
        <v>1920.0</v>
      </c>
    </row>
    <row r="11" spans="1:61">
      <c r="A11">
        <v>10</v>
      </c>
      <c r="B11" t="s">
        <v>185</v>
      </c>
      <c r="C11">
        <v>1</v>
      </c>
      <c r="D11" s="2">
        <v>0</v>
      </c>
      <c r="E11" s="2">
        <v>0</v>
      </c>
      <c r="F11" s="3">
        <f>IF(A11&gt;'Inputs'!$B$3,INDEX($D$2:$D$37,MAX(1,A11-'Inputs'!$B$3)),0)</f>
        <v>0</v>
      </c>
      <c r="G11" s="3">
        <f>0+0</f>
        <v>0</v>
      </c>
      <c r="H11" s="3">
        <f>G11*(1-'Inputs'!$B$58)</f>
        <v>0.0</v>
      </c>
      <c r="I11" s="3">
        <f>G11-H11</f>
        <v>0.0</v>
      </c>
      <c r="J11" s="3">
        <f>J10+F11-I11</f>
        <v>1.0</v>
      </c>
      <c r="K11" s="3">
        <f>SUM($D$2:D11)-SUM($F$2:F11)</f>
        <v>0</v>
      </c>
      <c r="L11" s="3">
        <f>F8+H8+F5+H5+F2+H2+H11</f>
        <v>0.0</v>
      </c>
      <c r="M11" s="3">
        <f>F11+L11</f>
        <v>0.0</v>
      </c>
      <c r="N11" s="3">
        <f>IF(A11+1&gt;'Inputs'!$B$3,INDEX($D$2:$D$37,MAX(1,A11+1-'Inputs'!$B$3)),0)+F9+H9+F6+H6+F3+H3+(0+0)*(1-'Inputs'!$B$58)</f>
        <v>0.0</v>
      </c>
      <c r="O11" s="3">
        <f>IF(A11+1&gt;'Inputs'!$B$3,INDEX($D$2:$D$37,MAX(1,A11+1-'Inputs'!$B$3)),0)</f>
        <v>0</v>
      </c>
      <c r="P11" s="3">
        <f>F9+F6+F3</f>
        <v>0</v>
      </c>
      <c r="Q11" s="3">
        <f>H9+H6+H3+(0+0)*(1-'Inputs'!$B$58)</f>
        <v>0.0</v>
      </c>
      <c r="R11" s="3">
        <f>IF(A11&gt;'Inputs'!$B$4,INDEX($E$2:$E$37,MAX(1,A11-'Inputs'!$B$4)),0)</f>
        <v>0</v>
      </c>
      <c r="S11" s="3">
        <f>J11*'Inputs'!$B$54/12</f>
        <v>41666.666666666664</v>
      </c>
      <c r="T11" s="3">
        <f>R11*'Inputs'!$B$55</f>
        <v>0</v>
      </c>
      <c r="U11" s="3">
        <f>S11*IF(C11&gt;1,'Inputs'!$B$60,0)</f>
        <v>0.0</v>
      </c>
      <c r="V11" s="3">
        <f>SUM(S11:U11)</f>
        <v>41666.666666666664</v>
      </c>
      <c r="W11" s="3">
        <f>J11*'Inputs'!$B$56/12</f>
        <v>25000.0</v>
      </c>
      <c r="X11" s="3">
        <f>J11*('Inputs'!$B$56*'Inputs'!$B$17+'Inputs'!$B$10*'Inputs'!$B$11+'Inputs'!$B$12*'Inputs'!$B$13+'Inputs'!$B$14*'Inputs'!$B$15+'Inputs'!$B$57+'Inputs'!$B$16)/12</f>
        <v>11916.666666666666</v>
      </c>
      <c r="Y11" s="3">
        <f>MAX(Y10,ROUNDUP((J11+K11)/'Inputs'!$B$9,0))</f>
        <v>1</v>
      </c>
      <c r="Z11" s="3">
        <f>Y11*'Inputs'!$B$8/12</f>
        <v>15000.0</v>
      </c>
      <c r="AA11" s="3">
        <f>W11+X11+Z11</f>
        <v>51916.666666666664</v>
      </c>
      <c r="AB11" s="3">
        <f>R11*('Inputs'!$B$19+'Inputs'!$B$20*'Inputs'!$B$21+'Inputs'!$B$22*'Inputs'!$B$11+'Inputs'!$B$23+'Inputs'!$B$24)</f>
        <v>0.0</v>
      </c>
      <c r="AC11" s="3">
        <f>U11*'Inputs'!$B$26</f>
        <v>0.0</v>
      </c>
      <c r="AD11" s="3">
        <f>AA11+AB11+AC11</f>
        <v>51916.666666666664</v>
      </c>
      <c r="AE11" s="3">
        <f>V11-AD11</f>
        <v>-10250.0</v>
      </c>
      <c r="AF11" s="3">
        <f>'Inputs'!$B$27/12</f>
        <v>15000.0</v>
      </c>
      <c r="AG11" s="3">
        <f>'Inputs'!$B$61/12</f>
        <v>50000.0</v>
      </c>
      <c r="AH11" s="3">
        <f>'Inputs'!$B$30/12</f>
        <v>10000.0</v>
      </c>
      <c r="AI11" s="3">
        <f>'Inputs'!$B$33/12</f>
        <v>5000.0</v>
      </c>
      <c r="AJ11" s="3">
        <f>'Inputs'!$B$36/12</f>
        <v>5000.0</v>
      </c>
      <c r="AK11" s="3">
        <f>MAX(1,ROUNDUP((SUM($D$2:$D$13)+0.5*SUM($E$2:$E$13))/'Inputs'!$B$40,0))</f>
        <v>1</v>
      </c>
      <c r="AL11" s="3">
        <f>AK11*'Inputs'!$B$39/12</f>
        <v>15000.0</v>
      </c>
      <c r="AM11" s="3">
        <f>D11*'Inputs'!$B$41+E11*'Inputs'!$B$42</f>
        <v>0</v>
      </c>
      <c r="AN11" s="3">
        <f>0</f>
        <v>0</v>
      </c>
      <c r="AO11" s="3">
        <f>AF11+AG11+AH11+AI11+AJ11+AL11+AM11+AN11</f>
        <v>100000.0</v>
      </c>
      <c r="AP11" s="3">
        <f>AE11-AO11</f>
        <v>-110250.0</v>
      </c>
      <c r="AQ11" s="3">
        <f>(D11+L11)*'Inputs'!$B$54/4</f>
        <v>0.0</v>
      </c>
      <c r="AR11" s="3">
        <f>(E11*'Inputs'!$B$25+R11*(1-'Inputs'!$B$25))*'Inputs'!$B$55</f>
        <v>0.0</v>
      </c>
      <c r="AS11" s="3">
        <f>AQ11+AR11+U11</f>
        <v>0.0</v>
      </c>
      <c r="AT11" s="3">
        <f>IF(A11&gt;'Inputs'!$B$5,INDEX($AS$2:$AS$37,MAX(1,A11-'Inputs'!$B$5)),0)</f>
        <v>0.0</v>
      </c>
      <c r="AU11" s="3">
        <f>'Inputs'!$B$56*(O11*'Inputs'!$B$53+P11*(1-'Inputs'!$B$53)/3+Q11/4)</f>
        <v>0.0</v>
      </c>
      <c r="AV11" s="3">
        <f>(E11+E10)*('Inputs'!$B$19+'Inputs'!$B$20*'Inputs'!$B$21+'Inputs'!$B$22*'Inputs'!$B$11+'Inputs'!$B$23+'Inputs'!$B$24)/2</f>
        <v>0.0</v>
      </c>
      <c r="AW11" s="3">
        <f>AU11+X11+Z11+AV11+AC11+AO11</f>
        <v>126916.66666666666</v>
      </c>
      <c r="AX11" s="3">
        <f>AT11-AW11</f>
        <v>-126916.66666666666</v>
      </c>
      <c r="AY11" s="3">
        <f>AY10+AX11</f>
        <v>-1369666.666666667</v>
      </c>
      <c r="AZ11" s="3">
        <f>AZ10+AS11-AT11</f>
        <v>125000.0</v>
      </c>
      <c r="BA11" s="3">
        <f>BA10+AQ11+AR11-S11-T11</f>
        <v>41666.66666666671</v>
      </c>
      <c r="BB11" s="3">
        <f>BB10+AU11-W11</f>
        <v>41000.0</v>
      </c>
      <c r="BC11" s="3">
        <f>BC10+AV11-AB11</f>
        <v>0.0</v>
      </c>
      <c r="BD11" s="3">
        <f>J11*'Inputs'!$B$54</f>
        <v>500000.0</v>
      </c>
      <c r="BE11" s="3">
        <f>(J11+K11)/'Inputs'!$B$9</f>
        <v>0.5</v>
      </c>
      <c r="BF11" s="3">
        <f>J11*'Inputs'!$B$12</f>
        <v>0.2</v>
      </c>
      <c r="BG11" s="3">
        <f>J11*'Inputs'!$B$14</f>
        <v>0.2</v>
      </c>
      <c r="BH11" s="3">
        <f>J11*'Inputs'!$B$10/12+E11*'Inputs'!$B$22</f>
        <v>0.8333333333333334</v>
      </c>
      <c r="BI11" s="3">
        <f>'Inputs'!$B$6*'Inputs'!$B$7*(F11*('Inputs'!$B$49+'Inputs'!$B$47)+L11*('Inputs'!$B$49+'Inputs'!$B$48))+E11*'Inputs'!$B$46*'Inputs'!$B$18</f>
        <v>0.0</v>
      </c>
    </row>
    <row r="12" spans="1:61">
      <c r="A12">
        <v>11</v>
      </c>
      <c r="B12" t="s">
        <v>186</v>
      </c>
      <c r="C12">
        <v>1</v>
      </c>
      <c r="D12" s="2">
        <v>1</v>
      </c>
      <c r="E12" s="2">
        <v>0</v>
      </c>
      <c r="F12" s="3">
        <f>IF(A12&gt;'Inputs'!$B$3,INDEX($D$2:$D$37,MAX(1,A12-'Inputs'!$B$3)),0)</f>
        <v>0</v>
      </c>
      <c r="G12" s="3">
        <f>0+0</f>
        <v>0</v>
      </c>
      <c r="H12" s="3">
        <f>G12*(1-'Inputs'!$B$58)</f>
        <v>0.0</v>
      </c>
      <c r="I12" s="3">
        <f>G12-H12</f>
        <v>0.0</v>
      </c>
      <c r="J12" s="3">
        <f>J11+F12-I12</f>
        <v>1.0</v>
      </c>
      <c r="K12" s="3">
        <f>SUM($D$2:D12)-SUM($F$2:F12)</f>
        <v>1</v>
      </c>
      <c r="L12" s="3">
        <f>F9+H9+F6+H6+F3+H3+H12</f>
        <v>0.0</v>
      </c>
      <c r="M12" s="3">
        <f>F12+L12</f>
        <v>0.0</v>
      </c>
      <c r="N12" s="3">
        <f>IF(A12+1&gt;'Inputs'!$B$3,INDEX($D$2:$D$37,MAX(1,A12+1-'Inputs'!$B$3)),0)+F10+H10+F7+H7+F4+H4+(0+0)*(1-'Inputs'!$B$58)</f>
        <v>1.0</v>
      </c>
      <c r="O12" s="3">
        <f>IF(A12+1&gt;'Inputs'!$B$3,INDEX($D$2:$D$37,MAX(1,A12+1-'Inputs'!$B$3)),0)</f>
        <v>0</v>
      </c>
      <c r="P12" s="3">
        <f>F10+F7+F4</f>
        <v>1</v>
      </c>
      <c r="Q12" s="3">
        <f>H10+H7+H4+(0+0)*(1-'Inputs'!$B$58)</f>
        <v>0.0</v>
      </c>
      <c r="R12" s="3">
        <f>IF(A12&gt;'Inputs'!$B$4,INDEX($E$2:$E$37,MAX(1,A12-'Inputs'!$B$4)),0)</f>
        <v>0</v>
      </c>
      <c r="S12" s="3">
        <f>J12*'Inputs'!$B$54/12</f>
        <v>41666.666666666664</v>
      </c>
      <c r="T12" s="3">
        <f>R12*'Inputs'!$B$55</f>
        <v>0</v>
      </c>
      <c r="U12" s="3">
        <f>S12*IF(C12&gt;1,'Inputs'!$B$60,0)</f>
        <v>0.0</v>
      </c>
      <c r="V12" s="3">
        <f>SUM(S12:U12)</f>
        <v>41666.666666666664</v>
      </c>
      <c r="W12" s="3">
        <f>J12*'Inputs'!$B$56/12</f>
        <v>25000.0</v>
      </c>
      <c r="X12" s="3">
        <f>J12*('Inputs'!$B$56*'Inputs'!$B$17+'Inputs'!$B$10*'Inputs'!$B$11+'Inputs'!$B$12*'Inputs'!$B$13+'Inputs'!$B$14*'Inputs'!$B$15+'Inputs'!$B$57+'Inputs'!$B$16)/12</f>
        <v>11916.666666666666</v>
      </c>
      <c r="Y12" s="3">
        <f>MAX(Y11,ROUNDUP((J12+K12)/'Inputs'!$B$9,0))</f>
        <v>1</v>
      </c>
      <c r="Z12" s="3">
        <f>Y12*'Inputs'!$B$8/12</f>
        <v>15000.0</v>
      </c>
      <c r="AA12" s="3">
        <f>W12+X12+Z12</f>
        <v>51916.666666666664</v>
      </c>
      <c r="AB12" s="3">
        <f>R12*('Inputs'!$B$19+'Inputs'!$B$20*'Inputs'!$B$21+'Inputs'!$B$22*'Inputs'!$B$11+'Inputs'!$B$23+'Inputs'!$B$24)</f>
        <v>0.0</v>
      </c>
      <c r="AC12" s="3">
        <f>U12*'Inputs'!$B$26</f>
        <v>0.0</v>
      </c>
      <c r="AD12" s="3">
        <f>AA12+AB12+AC12</f>
        <v>51916.666666666664</v>
      </c>
      <c r="AE12" s="3">
        <f>V12-AD12</f>
        <v>-10250.0</v>
      </c>
      <c r="AF12" s="3">
        <f>'Inputs'!$B$27/12</f>
        <v>15000.0</v>
      </c>
      <c r="AG12" s="3">
        <f>'Inputs'!$B$61/12</f>
        <v>50000.0</v>
      </c>
      <c r="AH12" s="3">
        <f>'Inputs'!$B$30/12</f>
        <v>10000.0</v>
      </c>
      <c r="AI12" s="3">
        <f>'Inputs'!$B$33/12</f>
        <v>5000.0</v>
      </c>
      <c r="AJ12" s="3">
        <f>'Inputs'!$B$36/12</f>
        <v>5000.0</v>
      </c>
      <c r="AK12" s="3">
        <f>MAX(1,ROUNDUP((SUM($D$2:$D$13)+0.5*SUM($E$2:$E$13))/'Inputs'!$B$40,0))</f>
        <v>1</v>
      </c>
      <c r="AL12" s="3">
        <f>AK12*'Inputs'!$B$39/12</f>
        <v>15000.0</v>
      </c>
      <c r="AM12" s="3">
        <f>D12*'Inputs'!$B$41+E12*'Inputs'!$B$42</f>
        <v>15000</v>
      </c>
      <c r="AN12" s="3">
        <f>0</f>
        <v>0</v>
      </c>
      <c r="AO12" s="3">
        <f>AF12+AG12+AH12+AI12+AJ12+AL12+AM12+AN12</f>
        <v>115000.0</v>
      </c>
      <c r="AP12" s="3">
        <f>AE12-AO12</f>
        <v>-125250.0</v>
      </c>
      <c r="AQ12" s="3">
        <f>(D12+L12)*'Inputs'!$B$54/4</f>
        <v>125000.0</v>
      </c>
      <c r="AR12" s="3">
        <f>(E12*'Inputs'!$B$25+R12*(1-'Inputs'!$B$25))*'Inputs'!$B$55</f>
        <v>0.0</v>
      </c>
      <c r="AS12" s="3">
        <f>AQ12+AR12+U12</f>
        <v>125000.0</v>
      </c>
      <c r="AT12" s="3">
        <f>IF(A12&gt;'Inputs'!$B$5,INDEX($AS$2:$AS$37,MAX(1,A12-'Inputs'!$B$5)),0)</f>
        <v>125000.0</v>
      </c>
      <c r="AU12" s="3">
        <f>'Inputs'!$B$56*(O12*'Inputs'!$B$53+P12*(1-'Inputs'!$B$53)/3+Q12/4)</f>
        <v>59000.00000000001</v>
      </c>
      <c r="AV12" s="3">
        <f>(E12+E11)*('Inputs'!$B$19+'Inputs'!$B$20*'Inputs'!$B$21+'Inputs'!$B$22*'Inputs'!$B$11+'Inputs'!$B$23+'Inputs'!$B$24)/2</f>
        <v>0.0</v>
      </c>
      <c r="AW12" s="3">
        <f>AU12+X12+Z12+AV12+AC12+AO12</f>
        <v>200916.6666666667</v>
      </c>
      <c r="AX12" s="3">
        <f>AT12-AW12</f>
        <v>-75916.66666666669</v>
      </c>
      <c r="AY12" s="3">
        <f>AY11+AX12</f>
        <v>-1445583.3333333337</v>
      </c>
      <c r="AZ12" s="3">
        <f>AZ11+AS12-AT12</f>
        <v>125000.0</v>
      </c>
      <c r="BA12" s="3">
        <f>BA11+AQ12+AR12-S12-T12</f>
        <v>125000.00000000006</v>
      </c>
      <c r="BB12" s="3">
        <f>BB11+AU12-W12</f>
        <v>75000.0</v>
      </c>
      <c r="BC12" s="3">
        <f>BC11+AV12-AB12</f>
        <v>0.0</v>
      </c>
      <c r="BD12" s="3">
        <f>J12*'Inputs'!$B$54</f>
        <v>500000.0</v>
      </c>
      <c r="BE12" s="3">
        <f>(J12+K12)/'Inputs'!$B$9</f>
        <v>1.0</v>
      </c>
      <c r="BF12" s="3">
        <f>J12*'Inputs'!$B$12</f>
        <v>0.2</v>
      </c>
      <c r="BG12" s="3">
        <f>J12*'Inputs'!$B$14</f>
        <v>0.2</v>
      </c>
      <c r="BH12" s="3">
        <f>J12*'Inputs'!$B$10/12+E12*'Inputs'!$B$22</f>
        <v>0.8333333333333334</v>
      </c>
      <c r="BI12" s="3">
        <f>'Inputs'!$B$6*'Inputs'!$B$7*(F12*('Inputs'!$B$49+'Inputs'!$B$47)+L12*('Inputs'!$B$49+'Inputs'!$B$48))+E12*'Inputs'!$B$46*'Inputs'!$B$18</f>
        <v>0.0</v>
      </c>
    </row>
    <row r="13" spans="1:61">
      <c r="A13">
        <v>12</v>
      </c>
      <c r="B13" t="s">
        <v>187</v>
      </c>
      <c r="C13">
        <v>1</v>
      </c>
      <c r="D13" s="2">
        <v>1</v>
      </c>
      <c r="E13" s="2">
        <v>0</v>
      </c>
      <c r="F13" s="3">
        <f>IF(A13&gt;'Inputs'!$B$3,INDEX($D$2:$D$37,MAX(1,A13-'Inputs'!$B$3)),0)</f>
        <v>0</v>
      </c>
      <c r="G13" s="3">
        <f>0+0</f>
        <v>0</v>
      </c>
      <c r="H13" s="3">
        <f>G13*(1-'Inputs'!$B$58)</f>
        <v>0.0</v>
      </c>
      <c r="I13" s="3">
        <f>G13-H13</f>
        <v>0.0</v>
      </c>
      <c r="J13" s="3">
        <f>J12+F13-I13</f>
        <v>1.0</v>
      </c>
      <c r="K13" s="3">
        <f>SUM($D$2:D13)-SUM($F$2:F13)</f>
        <v>2</v>
      </c>
      <c r="L13" s="3">
        <f>F10+H10+F7+H7+F4+H4+H13</f>
        <v>1.0</v>
      </c>
      <c r="M13" s="3">
        <f>F13+L13</f>
        <v>1.0</v>
      </c>
      <c r="N13" s="3">
        <f>IF(A13+1&gt;'Inputs'!$B$3,INDEX($D$2:$D$37,MAX(1,A13+1-'Inputs'!$B$3)),0)+F11+H11+F8+H8+F5+H5+(F2+H2)*(1-'Inputs'!$B$58)</f>
        <v>1.0</v>
      </c>
      <c r="O13" s="3">
        <f>IF(A13+1&gt;'Inputs'!$B$3,INDEX($D$2:$D$37,MAX(1,A13+1-'Inputs'!$B$3)),0)</f>
        <v>1</v>
      </c>
      <c r="P13" s="3">
        <f>F11+F8+F5</f>
        <v>0</v>
      </c>
      <c r="Q13" s="3">
        <f>H11+H8+H5+(F2+H2)*(1-'Inputs'!$B$58)</f>
        <v>0.0</v>
      </c>
      <c r="R13" s="3">
        <f>IF(A13&gt;'Inputs'!$B$4,INDEX($E$2:$E$37,MAX(1,A13-'Inputs'!$B$4)),0)</f>
        <v>0</v>
      </c>
      <c r="S13" s="3">
        <f>J13*'Inputs'!$B$54/12</f>
        <v>41666.666666666664</v>
      </c>
      <c r="T13" s="3">
        <f>R13*'Inputs'!$B$55</f>
        <v>0</v>
      </c>
      <c r="U13" s="3">
        <f>S13*IF(C13&gt;1,'Inputs'!$B$60,0)</f>
        <v>0.0</v>
      </c>
      <c r="V13" s="3">
        <f>SUM(S13:U13)</f>
        <v>41666.666666666664</v>
      </c>
      <c r="W13" s="3">
        <f>J13*'Inputs'!$B$56/12</f>
        <v>25000.0</v>
      </c>
      <c r="X13" s="3">
        <f>J13*('Inputs'!$B$56*'Inputs'!$B$17+'Inputs'!$B$10*'Inputs'!$B$11+'Inputs'!$B$12*'Inputs'!$B$13+'Inputs'!$B$14*'Inputs'!$B$15+'Inputs'!$B$57+'Inputs'!$B$16)/12</f>
        <v>11916.666666666666</v>
      </c>
      <c r="Y13" s="3">
        <f>MAX(Y12,ROUNDUP((J13+K13)/'Inputs'!$B$9,0))</f>
        <v>2</v>
      </c>
      <c r="Z13" s="3">
        <f>Y13*'Inputs'!$B$8/12</f>
        <v>30000.0</v>
      </c>
      <c r="AA13" s="3">
        <f>W13+X13+Z13</f>
        <v>66916.66666666666</v>
      </c>
      <c r="AB13" s="3">
        <f>R13*('Inputs'!$B$19+'Inputs'!$B$20*'Inputs'!$B$21+'Inputs'!$B$22*'Inputs'!$B$11+'Inputs'!$B$23+'Inputs'!$B$24)</f>
        <v>0.0</v>
      </c>
      <c r="AC13" s="3">
        <f>U13*'Inputs'!$B$26</f>
        <v>0.0</v>
      </c>
      <c r="AD13" s="3">
        <f>AA13+AB13+AC13</f>
        <v>66916.66666666666</v>
      </c>
      <c r="AE13" s="3">
        <f>V13-AD13</f>
        <v>-25249.999999999993</v>
      </c>
      <c r="AF13" s="3">
        <f>'Inputs'!$B$27/12</f>
        <v>15000.0</v>
      </c>
      <c r="AG13" s="3">
        <f>'Inputs'!$B$61/12</f>
        <v>50000.0</v>
      </c>
      <c r="AH13" s="3">
        <f>'Inputs'!$B$30/12</f>
        <v>10000.0</v>
      </c>
      <c r="AI13" s="3">
        <f>'Inputs'!$B$33/12</f>
        <v>5000.0</v>
      </c>
      <c r="AJ13" s="3">
        <f>'Inputs'!$B$36/12</f>
        <v>5000.0</v>
      </c>
      <c r="AK13" s="3">
        <f>MAX(1,ROUNDUP((SUM($D$2:$D$13)+0.5*SUM($E$2:$E$13))/'Inputs'!$B$40,0))</f>
        <v>1</v>
      </c>
      <c r="AL13" s="3">
        <f>AK13*'Inputs'!$B$39/12</f>
        <v>15000.0</v>
      </c>
      <c r="AM13" s="3">
        <f>D13*'Inputs'!$B$41+E13*'Inputs'!$B$42</f>
        <v>15000</v>
      </c>
      <c r="AN13" s="3">
        <f>0</f>
        <v>0</v>
      </c>
      <c r="AO13" s="3">
        <f>AF13+AG13+AH13+AI13+AJ13+AL13+AM13+AN13</f>
        <v>115000.0</v>
      </c>
      <c r="AP13" s="3">
        <f>AE13-AO13</f>
        <v>-140250.0</v>
      </c>
      <c r="AQ13" s="3">
        <f>(D13+L13)*'Inputs'!$B$54/4</f>
        <v>250000.0</v>
      </c>
      <c r="AR13" s="3">
        <f>(E13*'Inputs'!$B$25+R13*(1-'Inputs'!$B$25))*'Inputs'!$B$55</f>
        <v>0.0</v>
      </c>
      <c r="AS13" s="3">
        <f>AQ13+AR13+U13</f>
        <v>250000.0</v>
      </c>
      <c r="AT13" s="3">
        <f>IF(A13&gt;'Inputs'!$B$5,INDEX($AS$2:$AS$37,MAX(1,A13-'Inputs'!$B$5)),0)</f>
        <v>0.0</v>
      </c>
      <c r="AU13" s="3">
        <f>'Inputs'!$B$56*(O13*'Inputs'!$B$53+P13*(1-'Inputs'!$B$53)/3+Q13/4)</f>
        <v>122999.99999999999</v>
      </c>
      <c r="AV13" s="3">
        <f>(E13+E12)*('Inputs'!$B$19+'Inputs'!$B$20*'Inputs'!$B$21+'Inputs'!$B$22*'Inputs'!$B$11+'Inputs'!$B$23+'Inputs'!$B$24)/2</f>
        <v>0.0</v>
      </c>
      <c r="AW13" s="3">
        <f>AU13+X13+Z13+AV13+AC13+AO13</f>
        <v>279916.6666666666</v>
      </c>
      <c r="AX13" s="3">
        <f>AT13-AW13</f>
        <v>-279916.6666666666</v>
      </c>
      <c r="AY13" s="3">
        <f>AY12+AX13</f>
        <v>-1725500.0000000005</v>
      </c>
      <c r="AZ13" s="3">
        <f>AZ12+AS13-AT13</f>
        <v>375000.0</v>
      </c>
      <c r="BA13" s="3">
        <f>BA12+AQ13+AR13-S13-T13</f>
        <v>333333.3333333334</v>
      </c>
      <c r="BB13" s="3">
        <f>BB12+AU13-W13</f>
        <v>173000.0</v>
      </c>
      <c r="BC13" s="3">
        <f>BC12+AV13-AB13</f>
        <v>0.0</v>
      </c>
      <c r="BD13" s="3">
        <f>J13*'Inputs'!$B$54</f>
        <v>500000.0</v>
      </c>
      <c r="BE13" s="3">
        <f>(J13+K13)/'Inputs'!$B$9</f>
        <v>1.5</v>
      </c>
      <c r="BF13" s="3">
        <f>J13*'Inputs'!$B$12</f>
        <v>0.2</v>
      </c>
      <c r="BG13" s="3">
        <f>J13*'Inputs'!$B$14</f>
        <v>0.2</v>
      </c>
      <c r="BH13" s="3">
        <f>J13*'Inputs'!$B$10/12+E13*'Inputs'!$B$22</f>
        <v>0.8333333333333334</v>
      </c>
      <c r="BI13" s="3">
        <f>'Inputs'!$B$6*'Inputs'!$B$7*(F13*('Inputs'!$B$49+'Inputs'!$B$47)+L13*('Inputs'!$B$49+'Inputs'!$B$48))+E13*'Inputs'!$B$46*'Inputs'!$B$18</f>
        <v>1920.0</v>
      </c>
    </row>
    <row r="14" spans="1:61">
      <c r="A14">
        <v>13</v>
      </c>
      <c r="B14" t="s">
        <v>188</v>
      </c>
      <c r="C14">
        <v>2</v>
      </c>
      <c r="D14" s="2">
        <v>0</v>
      </c>
      <c r="E14" s="2">
        <v>0</v>
      </c>
      <c r="F14" s="3">
        <f>IF(A14&gt;'Inputs'!$B$3,INDEX($D$2:$D$37,MAX(1,A14-'Inputs'!$B$3)),0)</f>
        <v>1</v>
      </c>
      <c r="G14" s="3">
        <f>F2+H2</f>
        <v>0.0</v>
      </c>
      <c r="H14" s="3">
        <f>G14*(1-'Inputs'!$B$58)</f>
        <v>0.0</v>
      </c>
      <c r="I14" s="3">
        <f>G14-H14</f>
        <v>0.0</v>
      </c>
      <c r="J14" s="3">
        <f>J13+F14-I14</f>
        <v>2.0</v>
      </c>
      <c r="K14" s="3">
        <f>SUM($D$2:D14)-SUM($F$2:F14)</f>
        <v>1</v>
      </c>
      <c r="L14" s="3">
        <f>F11+H11+F8+H8+F5+H5+H14</f>
        <v>0.0</v>
      </c>
      <c r="M14" s="3">
        <f>F14+L14</f>
        <v>1.0</v>
      </c>
      <c r="N14" s="3">
        <f>IF(A14+1&gt;'Inputs'!$B$3,INDEX($D$2:$D$37,MAX(1,A14+1-'Inputs'!$B$3)),0)+F12+H12+F9+H9+F6+H6+(F3+H3)*(1-'Inputs'!$B$58)</f>
        <v>1.0</v>
      </c>
      <c r="O14" s="3">
        <f>IF(A14+1&gt;'Inputs'!$B$3,INDEX($D$2:$D$37,MAX(1,A14+1-'Inputs'!$B$3)),0)</f>
        <v>1</v>
      </c>
      <c r="P14" s="3">
        <f>F12+F9+F6</f>
        <v>0</v>
      </c>
      <c r="Q14" s="3">
        <f>H12+H9+H6+(F3+H3)*(1-'Inputs'!$B$58)</f>
        <v>0.0</v>
      </c>
      <c r="R14" s="3">
        <f>IF(A14&gt;'Inputs'!$B$4,INDEX($E$2:$E$37,MAX(1,A14-'Inputs'!$B$4)),0)</f>
        <v>0</v>
      </c>
      <c r="S14" s="3">
        <f>J14*'Inputs'!$B$54/12</f>
        <v>83333.33333333333</v>
      </c>
      <c r="T14" s="3">
        <f>R14*'Inputs'!$B$55</f>
        <v>0</v>
      </c>
      <c r="U14" s="3">
        <f>S14*IF(C14&gt;1,'Inputs'!$B$60,0)</f>
        <v>0.0</v>
      </c>
      <c r="V14" s="3">
        <f>SUM(S14:U14)</f>
        <v>83333.33333333333</v>
      </c>
      <c r="W14" s="3">
        <f>J14*'Inputs'!$B$56/12</f>
        <v>50000.0</v>
      </c>
      <c r="X14" s="3">
        <f>J14*('Inputs'!$B$56*'Inputs'!$B$17+'Inputs'!$B$10*'Inputs'!$B$11+'Inputs'!$B$12*'Inputs'!$B$13+'Inputs'!$B$14*'Inputs'!$B$15+'Inputs'!$B$57+'Inputs'!$B$16)/12</f>
        <v>23833.333333333332</v>
      </c>
      <c r="Y14" s="3">
        <f>MAX(Y13,ROUNDUP((J14+K14)/'Inputs'!$B$9,0))</f>
        <v>2</v>
      </c>
      <c r="Z14" s="3">
        <f>Y14*'Inputs'!$B$8/12</f>
        <v>30000.0</v>
      </c>
      <c r="AA14" s="3">
        <f>W14+X14+Z14</f>
        <v>103833.33333333333</v>
      </c>
      <c r="AB14" s="3">
        <f>R14*('Inputs'!$B$19+'Inputs'!$B$20*'Inputs'!$B$21+'Inputs'!$B$22*'Inputs'!$B$11+'Inputs'!$B$23+'Inputs'!$B$24)</f>
        <v>0.0</v>
      </c>
      <c r="AC14" s="3">
        <f>U14*'Inputs'!$B$26</f>
        <v>0.0</v>
      </c>
      <c r="AD14" s="3">
        <f>AA14+AB14+AC14</f>
        <v>103833.33333333333</v>
      </c>
      <c r="AE14" s="3">
        <f>V14-AD14</f>
        <v>-20500.0</v>
      </c>
      <c r="AF14" s="3">
        <f>'Inputs'!$B$28/12</f>
        <v>16500.0</v>
      </c>
      <c r="AG14" s="3">
        <f>'Inputs'!$B$62/12</f>
        <v>50000.0</v>
      </c>
      <c r="AH14" s="3">
        <f>'Inputs'!$B$31/12</f>
        <v>15000.0</v>
      </c>
      <c r="AI14" s="3">
        <f>'Inputs'!$B$34/12</f>
        <v>6666.666666666667</v>
      </c>
      <c r="AJ14" s="3">
        <f>'Inputs'!$B$37/12</f>
        <v>7500.0</v>
      </c>
      <c r="AK14" s="3">
        <f>MAX(1,ROUNDUP((SUM($D$14:$D$25)+0.5*SUM($E$14:$E$25))/'Inputs'!$B$40,0))</f>
        <v>1</v>
      </c>
      <c r="AL14" s="3">
        <f>AK14*'Inputs'!$B$39/12</f>
        <v>15000.0</v>
      </c>
      <c r="AM14" s="3">
        <f>D14*'Inputs'!$B$41+E14*'Inputs'!$B$42</f>
        <v>0</v>
      </c>
      <c r="AN14" s="3">
        <f>0</f>
        <v>0</v>
      </c>
      <c r="AO14" s="3">
        <f>AF14+AG14+AH14+AI14+AJ14+AL14+AM14+AN14</f>
        <v>110666.66666666667</v>
      </c>
      <c r="AP14" s="3">
        <f>AE14-AO14</f>
        <v>-131166.6666666667</v>
      </c>
      <c r="AQ14" s="3">
        <f>(D14+L14)*'Inputs'!$B$54/4</f>
        <v>0.0</v>
      </c>
      <c r="AR14" s="3">
        <f>(E14*'Inputs'!$B$25+R14*(1-'Inputs'!$B$25))*'Inputs'!$B$55</f>
        <v>0.0</v>
      </c>
      <c r="AS14" s="3">
        <f>AQ14+AR14+U14</f>
        <v>0.0</v>
      </c>
      <c r="AT14" s="3">
        <f>IF(A14&gt;'Inputs'!$B$5,INDEX($AS$2:$AS$37,MAX(1,A14-'Inputs'!$B$5)),0)</f>
        <v>125000.0</v>
      </c>
      <c r="AU14" s="3">
        <f>'Inputs'!$B$56*(O14*'Inputs'!$B$53+P14*(1-'Inputs'!$B$53)/3+Q14/4)</f>
        <v>122999.99999999999</v>
      </c>
      <c r="AV14" s="3">
        <f>(E14+E13)*('Inputs'!$B$19+'Inputs'!$B$20*'Inputs'!$B$21+'Inputs'!$B$22*'Inputs'!$B$11+'Inputs'!$B$23+'Inputs'!$B$24)/2</f>
        <v>0.0</v>
      </c>
      <c r="AW14" s="3">
        <f>AU14+X14+Z14+AV14+AC14+AO14</f>
        <v>287500.0</v>
      </c>
      <c r="AX14" s="3">
        <f>AT14-AW14</f>
        <v>-162500.0</v>
      </c>
      <c r="AY14" s="3">
        <f>AY13+AX14</f>
        <v>-1888000.0000000005</v>
      </c>
      <c r="AZ14" s="3">
        <f>AZ13+AS14-AT14</f>
        <v>250000.0</v>
      </c>
      <c r="BA14" s="3">
        <f>BA13+AQ14+AR14-S14-T14</f>
        <v>250000.00000000006</v>
      </c>
      <c r="BB14" s="3">
        <f>BB13+AU14-W14</f>
        <v>246000.0</v>
      </c>
      <c r="BC14" s="3">
        <f>BC13+AV14-AB14</f>
        <v>0.0</v>
      </c>
      <c r="BD14" s="3">
        <f>J14*'Inputs'!$B$54</f>
        <v>1000000.0</v>
      </c>
      <c r="BE14" s="3">
        <f>(J14+K14)/'Inputs'!$B$9</f>
        <v>1.5</v>
      </c>
      <c r="BF14" s="3">
        <f>J14*'Inputs'!$B$12</f>
        <v>0.4</v>
      </c>
      <c r="BG14" s="3">
        <f>J14*'Inputs'!$B$14</f>
        <v>0.4</v>
      </c>
      <c r="BH14" s="3">
        <f>J14*'Inputs'!$B$10/12+E14*'Inputs'!$B$22</f>
        <v>1.6666666666666667</v>
      </c>
      <c r="BI14" s="3">
        <f>'Inputs'!$B$6*'Inputs'!$B$7*(F14*('Inputs'!$B$49+'Inputs'!$B$47)+L14*('Inputs'!$B$49+'Inputs'!$B$48))+E14*'Inputs'!$B$46*'Inputs'!$B$18</f>
        <v>2400.0</v>
      </c>
    </row>
    <row r="15" spans="1:61">
      <c r="A15">
        <v>14</v>
      </c>
      <c r="B15" t="s">
        <v>189</v>
      </c>
      <c r="C15">
        <v>2</v>
      </c>
      <c r="D15" s="2">
        <v>1</v>
      </c>
      <c r="E15" s="2">
        <v>0</v>
      </c>
      <c r="F15" s="3">
        <f>IF(A15&gt;'Inputs'!$B$3,INDEX($D$2:$D$37,MAX(1,A15-'Inputs'!$B$3)),0)</f>
        <v>1</v>
      </c>
      <c r="G15" s="3">
        <f>F3+H3</f>
        <v>0.0</v>
      </c>
      <c r="H15" s="3">
        <f>G15*(1-'Inputs'!$B$58)</f>
        <v>0.0</v>
      </c>
      <c r="I15" s="3">
        <f>G15-H15</f>
        <v>0.0</v>
      </c>
      <c r="J15" s="3">
        <f>J14+F15-I15</f>
        <v>3.0</v>
      </c>
      <c r="K15" s="3">
        <f>SUM($D$2:D15)-SUM($F$2:F15)</f>
        <v>1</v>
      </c>
      <c r="L15" s="3">
        <f>F12+H12+F9+H9+F6+H6+H15</f>
        <v>0.0</v>
      </c>
      <c r="M15" s="3">
        <f>F15+L15</f>
        <v>1.0</v>
      </c>
      <c r="N15" s="3">
        <f>IF(A15+1&gt;'Inputs'!$B$3,INDEX($D$2:$D$37,MAX(1,A15+1-'Inputs'!$B$3)),0)+F13+H13+F10+H10+F7+H7+(F4+H4)*(1-'Inputs'!$B$58)</f>
        <v>0.75</v>
      </c>
      <c r="O15" s="3">
        <f>IF(A15+1&gt;'Inputs'!$B$3,INDEX($D$2:$D$37,MAX(1,A15+1-'Inputs'!$B$3)),0)</f>
        <v>0</v>
      </c>
      <c r="P15" s="3">
        <f>F13+F10+F7</f>
        <v>0</v>
      </c>
      <c r="Q15" s="3">
        <f>H13+H10+H7+(F4+H4)*(1-'Inputs'!$B$58)</f>
        <v>0.75</v>
      </c>
      <c r="R15" s="3">
        <f>IF(A15&gt;'Inputs'!$B$4,INDEX($E$2:$E$37,MAX(1,A15-'Inputs'!$B$4)),0)</f>
        <v>0</v>
      </c>
      <c r="S15" s="3">
        <f>J15*'Inputs'!$B$54/12</f>
        <v>125000.0</v>
      </c>
      <c r="T15" s="3">
        <f>R15*'Inputs'!$B$55</f>
        <v>0</v>
      </c>
      <c r="U15" s="3">
        <f>S15*IF(C15&gt;1,'Inputs'!$B$60,0)</f>
        <v>0.0</v>
      </c>
      <c r="V15" s="3">
        <f>SUM(S15:U15)</f>
        <v>125000.0</v>
      </c>
      <c r="W15" s="3">
        <f>J15*'Inputs'!$B$56/12</f>
        <v>75000.0</v>
      </c>
      <c r="X15" s="3">
        <f>J15*('Inputs'!$B$56*'Inputs'!$B$17+'Inputs'!$B$10*'Inputs'!$B$11+'Inputs'!$B$12*'Inputs'!$B$13+'Inputs'!$B$14*'Inputs'!$B$15+'Inputs'!$B$57+'Inputs'!$B$16)/12</f>
        <v>35750.0</v>
      </c>
      <c r="Y15" s="3">
        <f>MAX(Y14,ROUNDUP((J15+K15)/'Inputs'!$B$9,0))</f>
        <v>2</v>
      </c>
      <c r="Z15" s="3">
        <f>Y15*'Inputs'!$B$8/12</f>
        <v>30000.0</v>
      </c>
      <c r="AA15" s="3">
        <f>W15+X15+Z15</f>
        <v>140750.0</v>
      </c>
      <c r="AB15" s="3">
        <f>R15*('Inputs'!$B$19+'Inputs'!$B$20*'Inputs'!$B$21+'Inputs'!$B$22*'Inputs'!$B$11+'Inputs'!$B$23+'Inputs'!$B$24)</f>
        <v>0.0</v>
      </c>
      <c r="AC15" s="3">
        <f>U15*'Inputs'!$B$26</f>
        <v>0.0</v>
      </c>
      <c r="AD15" s="3">
        <f>AA15+AB15+AC15</f>
        <v>140750.0</v>
      </c>
      <c r="AE15" s="3">
        <f>V15-AD15</f>
        <v>-15750.0</v>
      </c>
      <c r="AF15" s="3">
        <f>'Inputs'!$B$28/12</f>
        <v>16500.0</v>
      </c>
      <c r="AG15" s="3">
        <f>'Inputs'!$B$62/12</f>
        <v>50000.0</v>
      </c>
      <c r="AH15" s="3">
        <f>'Inputs'!$B$31/12</f>
        <v>15000.0</v>
      </c>
      <c r="AI15" s="3">
        <f>'Inputs'!$B$34/12</f>
        <v>6666.666666666667</v>
      </c>
      <c r="AJ15" s="3">
        <f>'Inputs'!$B$37/12</f>
        <v>7500.0</v>
      </c>
      <c r="AK15" s="3">
        <f>MAX(1,ROUNDUP((SUM($D$14:$D$25)+0.5*SUM($E$14:$E$25))/'Inputs'!$B$40,0))</f>
        <v>1</v>
      </c>
      <c r="AL15" s="3">
        <f>AK15*'Inputs'!$B$39/12</f>
        <v>15000.0</v>
      </c>
      <c r="AM15" s="3">
        <f>D15*'Inputs'!$B$41+E15*'Inputs'!$B$42</f>
        <v>15000</v>
      </c>
      <c r="AN15" s="3">
        <f>0</f>
        <v>0</v>
      </c>
      <c r="AO15" s="3">
        <f>AF15+AG15+AH15+AI15+AJ15+AL15+AM15+AN15</f>
        <v>125666.66666666667</v>
      </c>
      <c r="AP15" s="3">
        <f>AE15-AO15</f>
        <v>-141416.6666666667</v>
      </c>
      <c r="AQ15" s="3">
        <f>(D15+L15)*'Inputs'!$B$54/4</f>
        <v>125000.0</v>
      </c>
      <c r="AR15" s="3">
        <f>(E15*'Inputs'!$B$25+R15*(1-'Inputs'!$B$25))*'Inputs'!$B$55</f>
        <v>0.0</v>
      </c>
      <c r="AS15" s="3">
        <f>AQ15+AR15+U15</f>
        <v>125000.0</v>
      </c>
      <c r="AT15" s="3">
        <f>IF(A15&gt;'Inputs'!$B$5,INDEX($AS$2:$AS$37,MAX(1,A15-'Inputs'!$B$5)),0)</f>
        <v>250000.0</v>
      </c>
      <c r="AU15" s="3">
        <f>'Inputs'!$B$56*(O15*'Inputs'!$B$53+P15*(1-'Inputs'!$B$53)/3+Q15/4)</f>
        <v>56250.0</v>
      </c>
      <c r="AV15" s="3">
        <f>(E15+E14)*('Inputs'!$B$19+'Inputs'!$B$20*'Inputs'!$B$21+'Inputs'!$B$22*'Inputs'!$B$11+'Inputs'!$B$23+'Inputs'!$B$24)/2</f>
        <v>0.0</v>
      </c>
      <c r="AW15" s="3">
        <f>AU15+X15+Z15+AV15+AC15+AO15</f>
        <v>247666.6666666667</v>
      </c>
      <c r="AX15" s="3">
        <f>AT15-AW15</f>
        <v>2333.333333333314</v>
      </c>
      <c r="AY15" s="3">
        <f>AY14+AX15</f>
        <v>-1885666.6666666672</v>
      </c>
      <c r="AZ15" s="3">
        <f>AZ14+AS15-AT15</f>
        <v>125000.0</v>
      </c>
      <c r="BA15" s="3">
        <f>BA14+AQ15+AR15-S15-T15</f>
        <v>250000.00000000006</v>
      </c>
      <c r="BB15" s="3">
        <f>BB14+AU15-W15</f>
        <v>227250.0</v>
      </c>
      <c r="BC15" s="3">
        <f>BC14+AV15-AB15</f>
        <v>0.0</v>
      </c>
      <c r="BD15" s="3">
        <f>J15*'Inputs'!$B$54</f>
        <v>1500000.0</v>
      </c>
      <c r="BE15" s="3">
        <f>(J15+K15)/'Inputs'!$B$9</f>
        <v>2.0</v>
      </c>
      <c r="BF15" s="3">
        <f>J15*'Inputs'!$B$12</f>
        <v>0.6000000000000001</v>
      </c>
      <c r="BG15" s="3">
        <f>J15*'Inputs'!$B$14</f>
        <v>0.6000000000000001</v>
      </c>
      <c r="BH15" s="3">
        <f>J15*'Inputs'!$B$10/12+E15*'Inputs'!$B$22</f>
        <v>2.5</v>
      </c>
      <c r="BI15" s="3">
        <f>'Inputs'!$B$6*'Inputs'!$B$7*(F15*('Inputs'!$B$49+'Inputs'!$B$47)+L15*('Inputs'!$B$49+'Inputs'!$B$48))+E15*'Inputs'!$B$46*'Inputs'!$B$18</f>
        <v>2400.0</v>
      </c>
    </row>
    <row r="16" spans="1:61">
      <c r="A16">
        <v>15</v>
      </c>
      <c r="B16" t="s">
        <v>190</v>
      </c>
      <c r="C16">
        <v>2</v>
      </c>
      <c r="D16" s="2">
        <v>0</v>
      </c>
      <c r="E16" s="2">
        <v>1</v>
      </c>
      <c r="F16" s="3">
        <f>IF(A16&gt;'Inputs'!$B$3,INDEX($D$2:$D$37,MAX(1,A16-'Inputs'!$B$3)),0)</f>
        <v>0</v>
      </c>
      <c r="G16" s="3">
        <f>F4+H4</f>
        <v>1.0</v>
      </c>
      <c r="H16" s="3">
        <f>G16*(1-'Inputs'!$B$58)</f>
        <v>0.75</v>
      </c>
      <c r="I16" s="3">
        <f>G16-H16</f>
        <v>0.25</v>
      </c>
      <c r="J16" s="3">
        <f>J15+F16-I16</f>
        <v>2.75</v>
      </c>
      <c r="K16" s="3">
        <f>SUM($D$2:D16)-SUM($F$2:F16)</f>
        <v>1</v>
      </c>
      <c r="L16" s="3">
        <f>F13+H13+F10+H10+F7+H7+H16</f>
        <v>0.75</v>
      </c>
      <c r="M16" s="3">
        <f>F16+L16</f>
        <v>0.75</v>
      </c>
      <c r="N16" s="3">
        <f>IF(A16+1&gt;'Inputs'!$B$3,INDEX($D$2:$D$37,MAX(1,A16+1-'Inputs'!$B$3)),0)+F14+H14+F11+H11+F8+H8+(F5+H5)*(1-'Inputs'!$B$58)</f>
        <v>2.0</v>
      </c>
      <c r="O16" s="3">
        <f>IF(A16+1&gt;'Inputs'!$B$3,INDEX($D$2:$D$37,MAX(1,A16+1-'Inputs'!$B$3)),0)</f>
        <v>1</v>
      </c>
      <c r="P16" s="3">
        <f>F14+F11+F8</f>
        <v>1</v>
      </c>
      <c r="Q16" s="3">
        <f>H14+H11+H8+(F5+H5)*(1-'Inputs'!$B$58)</f>
        <v>0.0</v>
      </c>
      <c r="R16" s="3">
        <f>IF(A16&gt;'Inputs'!$B$4,INDEX($E$2:$E$37,MAX(1,A16-'Inputs'!$B$4)),0)</f>
        <v>0</v>
      </c>
      <c r="S16" s="3">
        <f>J16*'Inputs'!$B$54/12</f>
        <v>114583.33333333333</v>
      </c>
      <c r="T16" s="3">
        <f>R16*'Inputs'!$B$55</f>
        <v>0</v>
      </c>
      <c r="U16" s="3">
        <f>S16*IF(C16&gt;1,'Inputs'!$B$60,0)</f>
        <v>0.0</v>
      </c>
      <c r="V16" s="3">
        <f>SUM(S16:U16)</f>
        <v>114583.33333333333</v>
      </c>
      <c r="W16" s="3">
        <f>J16*'Inputs'!$B$56/12</f>
        <v>68750.0</v>
      </c>
      <c r="X16" s="3">
        <f>J16*('Inputs'!$B$56*'Inputs'!$B$17+'Inputs'!$B$10*'Inputs'!$B$11+'Inputs'!$B$12*'Inputs'!$B$13+'Inputs'!$B$14*'Inputs'!$B$15+'Inputs'!$B$57+'Inputs'!$B$16)/12</f>
        <v>32770.833333333336</v>
      </c>
      <c r="Y16" s="3">
        <f>MAX(Y15,ROUNDUP((J16+K16)/'Inputs'!$B$9,0))</f>
        <v>2</v>
      </c>
      <c r="Z16" s="3">
        <f>Y16*'Inputs'!$B$8/12</f>
        <v>30000.0</v>
      </c>
      <c r="AA16" s="3">
        <f>W16+X16+Z16</f>
        <v>131520.83333333334</v>
      </c>
      <c r="AB16" s="3">
        <f>R16*('Inputs'!$B$19+'Inputs'!$B$20*'Inputs'!$B$21+'Inputs'!$B$22*'Inputs'!$B$11+'Inputs'!$B$23+'Inputs'!$B$24)</f>
        <v>0.0</v>
      </c>
      <c r="AC16" s="3">
        <f>U16*'Inputs'!$B$26</f>
        <v>0.0</v>
      </c>
      <c r="AD16" s="3">
        <f>AA16+AB16+AC16</f>
        <v>131520.83333333334</v>
      </c>
      <c r="AE16" s="3">
        <f>V16-AD16</f>
        <v>-16937.500000000015</v>
      </c>
      <c r="AF16" s="3">
        <f>'Inputs'!$B$28/12</f>
        <v>16500.0</v>
      </c>
      <c r="AG16" s="3">
        <f>'Inputs'!$B$62/12</f>
        <v>50000.0</v>
      </c>
      <c r="AH16" s="3">
        <f>'Inputs'!$B$31/12</f>
        <v>15000.0</v>
      </c>
      <c r="AI16" s="3">
        <f>'Inputs'!$B$34/12</f>
        <v>6666.666666666667</v>
      </c>
      <c r="AJ16" s="3">
        <f>'Inputs'!$B$37/12</f>
        <v>7500.0</v>
      </c>
      <c r="AK16" s="3">
        <f>MAX(1,ROUNDUP((SUM($D$14:$D$25)+0.5*SUM($E$14:$E$25))/'Inputs'!$B$40,0))</f>
        <v>1</v>
      </c>
      <c r="AL16" s="3">
        <f>AK16*'Inputs'!$B$39/12</f>
        <v>15000.0</v>
      </c>
      <c r="AM16" s="3">
        <f>D16*'Inputs'!$B$41+E16*'Inputs'!$B$42</f>
        <v>5000</v>
      </c>
      <c r="AN16" s="3">
        <f>0</f>
        <v>0</v>
      </c>
      <c r="AO16" s="3">
        <f>AF16+AG16+AH16+AI16+AJ16+AL16+AM16+AN16</f>
        <v>115666.66666666667</v>
      </c>
      <c r="AP16" s="3">
        <f>AE16-AO16</f>
        <v>-132604.1666666667</v>
      </c>
      <c r="AQ16" s="3">
        <f>(D16+L16)*'Inputs'!$B$54/4</f>
        <v>93750.0</v>
      </c>
      <c r="AR16" s="3">
        <f>(E16*'Inputs'!$B$25+R16*(1-'Inputs'!$B$25))*'Inputs'!$B$55</f>
        <v>55000.0</v>
      </c>
      <c r="AS16" s="3">
        <f>AQ16+AR16+U16</f>
        <v>148750.0</v>
      </c>
      <c r="AT16" s="3">
        <f>IF(A16&gt;'Inputs'!$B$5,INDEX($AS$2:$AS$37,MAX(1,A16-'Inputs'!$B$5)),0)</f>
        <v>0.0</v>
      </c>
      <c r="AU16" s="3">
        <f>'Inputs'!$B$56*(O16*'Inputs'!$B$53+P16*(1-'Inputs'!$B$53)/3+Q16/4)</f>
        <v>182000.0</v>
      </c>
      <c r="AV16" s="3">
        <f>(E16+E15)*('Inputs'!$B$19+'Inputs'!$B$20*'Inputs'!$B$21+'Inputs'!$B$22*'Inputs'!$B$11+'Inputs'!$B$23+'Inputs'!$B$24)/2</f>
        <v>47083.333333333336</v>
      </c>
      <c r="AW16" s="3">
        <f>AU16+X16+Z16+AV16+AC16+AO16</f>
        <v>407520.8333333334</v>
      </c>
      <c r="AX16" s="3">
        <f>AT16-AW16</f>
        <v>-407520.8333333334</v>
      </c>
      <c r="AY16" s="3">
        <f>AY15+AX16</f>
        <v>-2293187.5000000005</v>
      </c>
      <c r="AZ16" s="3">
        <f>AZ15+AS16-AT16</f>
        <v>273750.0</v>
      </c>
      <c r="BA16" s="3">
        <f>BA15+AQ16+AR16-S16-T16</f>
        <v>284166.66666666674</v>
      </c>
      <c r="BB16" s="3">
        <f>BB15+AU16-W16</f>
        <v>340500.0</v>
      </c>
      <c r="BC16" s="3">
        <f>BC15+AV16-AB16</f>
        <v>47083.333333333336</v>
      </c>
      <c r="BD16" s="3">
        <f>J16*'Inputs'!$B$54</f>
        <v>1375000.0</v>
      </c>
      <c r="BE16" s="3">
        <f>(J16+K16)/'Inputs'!$B$9</f>
        <v>1.875</v>
      </c>
      <c r="BF16" s="3">
        <f>J16*'Inputs'!$B$12</f>
        <v>0.55</v>
      </c>
      <c r="BG16" s="3">
        <f>J16*'Inputs'!$B$14</f>
        <v>0.55</v>
      </c>
      <c r="BH16" s="3">
        <f>J16*'Inputs'!$B$10/12+E16*'Inputs'!$B$22</f>
        <v>7.958333333333332</v>
      </c>
      <c r="BI16" s="3">
        <f>'Inputs'!$B$6*'Inputs'!$B$7*(F16*('Inputs'!$B$49+'Inputs'!$B$47)+L16*('Inputs'!$B$49+'Inputs'!$B$48))+E16*'Inputs'!$B$46*'Inputs'!$B$18</f>
        <v>3200.0</v>
      </c>
    </row>
    <row r="17" spans="1:61">
      <c r="A17">
        <v>16</v>
      </c>
      <c r="B17" t="s">
        <v>191</v>
      </c>
      <c r="C17">
        <v>2</v>
      </c>
      <c r="D17" s="2">
        <v>1</v>
      </c>
      <c r="E17" s="2">
        <v>0</v>
      </c>
      <c r="F17" s="3">
        <f>IF(A17&gt;'Inputs'!$B$3,INDEX($D$2:$D$37,MAX(1,A17-'Inputs'!$B$3)),0)</f>
        <v>1</v>
      </c>
      <c r="G17" s="3">
        <f>F5+H5</f>
        <v>0.0</v>
      </c>
      <c r="H17" s="3">
        <f>G17*(1-'Inputs'!$B$58)</f>
        <v>0.0</v>
      </c>
      <c r="I17" s="3">
        <f>G17-H17</f>
        <v>0.0</v>
      </c>
      <c r="J17" s="3">
        <f>J16+F17-I17</f>
        <v>3.75</v>
      </c>
      <c r="K17" s="3">
        <f>SUM($D$2:D17)-SUM($F$2:F17)</f>
        <v>1</v>
      </c>
      <c r="L17" s="3">
        <f>F14+H14+F11+H11+F8+H8+H17</f>
        <v>1.0</v>
      </c>
      <c r="M17" s="3">
        <f>F17+L17</f>
        <v>2.0</v>
      </c>
      <c r="N17" s="3">
        <f>IF(A17+1&gt;'Inputs'!$B$3,INDEX($D$2:$D$37,MAX(1,A17+1-'Inputs'!$B$3)),0)+F15+H15+F12+H12+F9+H9+(F6+H6)*(1-'Inputs'!$B$58)</f>
        <v>1.0</v>
      </c>
      <c r="O17" s="3">
        <f>IF(A17+1&gt;'Inputs'!$B$3,INDEX($D$2:$D$37,MAX(1,A17+1-'Inputs'!$B$3)),0)</f>
        <v>0</v>
      </c>
      <c r="P17" s="3">
        <f>F15+F12+F9</f>
        <v>1</v>
      </c>
      <c r="Q17" s="3">
        <f>H15+H12+H9+(F6+H6)*(1-'Inputs'!$B$58)</f>
        <v>0.0</v>
      </c>
      <c r="R17" s="3">
        <f>IF(A17&gt;'Inputs'!$B$4,INDEX($E$2:$E$37,MAX(1,A17-'Inputs'!$B$4)),0)</f>
        <v>0</v>
      </c>
      <c r="S17" s="3">
        <f>J17*'Inputs'!$B$54/12</f>
        <v>156250.0</v>
      </c>
      <c r="T17" s="3">
        <f>R17*'Inputs'!$B$55</f>
        <v>0</v>
      </c>
      <c r="U17" s="3">
        <f>S17*IF(C17&gt;1,'Inputs'!$B$60,0)</f>
        <v>0.0</v>
      </c>
      <c r="V17" s="3">
        <f>SUM(S17:U17)</f>
        <v>156250.0</v>
      </c>
      <c r="W17" s="3">
        <f>J17*'Inputs'!$B$56/12</f>
        <v>93750.0</v>
      </c>
      <c r="X17" s="3">
        <f>J17*('Inputs'!$B$56*'Inputs'!$B$17+'Inputs'!$B$10*'Inputs'!$B$11+'Inputs'!$B$12*'Inputs'!$B$13+'Inputs'!$B$14*'Inputs'!$B$15+'Inputs'!$B$57+'Inputs'!$B$16)/12</f>
        <v>44687.5</v>
      </c>
      <c r="Y17" s="3">
        <f>MAX(Y16,ROUNDUP((J17+K17)/'Inputs'!$B$9,0))</f>
        <v>3</v>
      </c>
      <c r="Z17" s="3">
        <f>Y17*'Inputs'!$B$8/12</f>
        <v>45000.0</v>
      </c>
      <c r="AA17" s="3">
        <f>W17+X17+Z17</f>
        <v>183437.5</v>
      </c>
      <c r="AB17" s="3">
        <f>R17*('Inputs'!$B$19+'Inputs'!$B$20*'Inputs'!$B$21+'Inputs'!$B$22*'Inputs'!$B$11+'Inputs'!$B$23+'Inputs'!$B$24)</f>
        <v>0.0</v>
      </c>
      <c r="AC17" s="3">
        <f>U17*'Inputs'!$B$26</f>
        <v>0.0</v>
      </c>
      <c r="AD17" s="3">
        <f>AA17+AB17+AC17</f>
        <v>183437.5</v>
      </c>
      <c r="AE17" s="3">
        <f>V17-AD17</f>
        <v>-27187.5</v>
      </c>
      <c r="AF17" s="3">
        <f>'Inputs'!$B$28/12</f>
        <v>16500.0</v>
      </c>
      <c r="AG17" s="3">
        <f>'Inputs'!$B$62/12</f>
        <v>50000.0</v>
      </c>
      <c r="AH17" s="3">
        <f>'Inputs'!$B$31/12</f>
        <v>15000.0</v>
      </c>
      <c r="AI17" s="3">
        <f>'Inputs'!$B$34/12</f>
        <v>6666.666666666667</v>
      </c>
      <c r="AJ17" s="3">
        <f>'Inputs'!$B$37/12</f>
        <v>7500.0</v>
      </c>
      <c r="AK17" s="3">
        <f>MAX(1,ROUNDUP((SUM($D$14:$D$25)+0.5*SUM($E$14:$E$25))/'Inputs'!$B$40,0))</f>
        <v>1</v>
      </c>
      <c r="AL17" s="3">
        <f>AK17*'Inputs'!$B$39/12</f>
        <v>15000.0</v>
      </c>
      <c r="AM17" s="3">
        <f>D17*'Inputs'!$B$41+E17*'Inputs'!$B$42</f>
        <v>15000</v>
      </c>
      <c r="AN17" s="3">
        <f>0</f>
        <v>0</v>
      </c>
      <c r="AO17" s="3">
        <f>AF17+AG17+AH17+AI17+AJ17+AL17+AM17+AN17</f>
        <v>125666.66666666667</v>
      </c>
      <c r="AP17" s="3">
        <f>AE17-AO17</f>
        <v>-152854.1666666667</v>
      </c>
      <c r="AQ17" s="3">
        <f>(D17+L17)*'Inputs'!$B$54/4</f>
        <v>250000.0</v>
      </c>
      <c r="AR17" s="3">
        <f>(E17*'Inputs'!$B$25+R17*(1-'Inputs'!$B$25))*'Inputs'!$B$55</f>
        <v>0.0</v>
      </c>
      <c r="AS17" s="3">
        <f>AQ17+AR17+U17</f>
        <v>250000.0</v>
      </c>
      <c r="AT17" s="3">
        <f>IF(A17&gt;'Inputs'!$B$5,INDEX($AS$2:$AS$37,MAX(1,A17-'Inputs'!$B$5)),0)</f>
        <v>125000.0</v>
      </c>
      <c r="AU17" s="3">
        <f>'Inputs'!$B$56*(O17*'Inputs'!$B$53+P17*(1-'Inputs'!$B$53)/3+Q17/4)</f>
        <v>59000.00000000001</v>
      </c>
      <c r="AV17" s="3">
        <f>(E17+E16)*('Inputs'!$B$19+'Inputs'!$B$20*'Inputs'!$B$21+'Inputs'!$B$22*'Inputs'!$B$11+'Inputs'!$B$23+'Inputs'!$B$24)/2</f>
        <v>47083.333333333336</v>
      </c>
      <c r="AW17" s="3">
        <f>AU17+X17+Z17+AV17+AC17+AO17</f>
        <v>321437.5</v>
      </c>
      <c r="AX17" s="3">
        <f>AT17-AW17</f>
        <v>-196437.5</v>
      </c>
      <c r="AY17" s="3">
        <f>AY16+AX17</f>
        <v>-2489625.0000000005</v>
      </c>
      <c r="AZ17" s="3">
        <f>AZ16+AS17-AT17</f>
        <v>398750.0</v>
      </c>
      <c r="BA17" s="3">
        <f>BA16+AQ17+AR17-S17-T17</f>
        <v>377916.66666666674</v>
      </c>
      <c r="BB17" s="3">
        <f>BB16+AU17-W17</f>
        <v>305750.0</v>
      </c>
      <c r="BC17" s="3">
        <f>BC16+AV17-AB17</f>
        <v>94166.66666666667</v>
      </c>
      <c r="BD17" s="3">
        <f>J17*'Inputs'!$B$54</f>
        <v>1875000.0</v>
      </c>
      <c r="BE17" s="3">
        <f>(J17+K17)/'Inputs'!$B$9</f>
        <v>2.375</v>
      </c>
      <c r="BF17" s="3">
        <f>J17*'Inputs'!$B$12</f>
        <v>0.75</v>
      </c>
      <c r="BG17" s="3">
        <f>J17*'Inputs'!$B$14</f>
        <v>0.75</v>
      </c>
      <c r="BH17" s="3">
        <f>J17*'Inputs'!$B$10/12+E17*'Inputs'!$B$22</f>
        <v>3.125</v>
      </c>
      <c r="BI17" s="3">
        <f>'Inputs'!$B$6*'Inputs'!$B$7*(F17*('Inputs'!$B$49+'Inputs'!$B$47)+L17*('Inputs'!$B$49+'Inputs'!$B$48))+E17*'Inputs'!$B$46*'Inputs'!$B$18</f>
        <v>4320.0</v>
      </c>
    </row>
    <row r="18" spans="1:61">
      <c r="A18">
        <v>17</v>
      </c>
      <c r="B18" t="s">
        <v>192</v>
      </c>
      <c r="C18">
        <v>2</v>
      </c>
      <c r="D18" s="2">
        <v>0</v>
      </c>
      <c r="E18" s="2">
        <v>0</v>
      </c>
      <c r="F18" s="3">
        <f>IF(A18&gt;'Inputs'!$B$3,INDEX($D$2:$D$37,MAX(1,A18-'Inputs'!$B$3)),0)</f>
        <v>0</v>
      </c>
      <c r="G18" s="3">
        <f>F6+H6</f>
        <v>0.0</v>
      </c>
      <c r="H18" s="3">
        <f>G18*(1-'Inputs'!$B$58)</f>
        <v>0.0</v>
      </c>
      <c r="I18" s="3">
        <f>G18-H18</f>
        <v>0.0</v>
      </c>
      <c r="J18" s="3">
        <f>J17+F18-I18</f>
        <v>3.75</v>
      </c>
      <c r="K18" s="3">
        <f>SUM($D$2:D18)-SUM($F$2:F18)</f>
        <v>1</v>
      </c>
      <c r="L18" s="3">
        <f>F15+H15+F12+H12+F9+H9+H18</f>
        <v>1.0</v>
      </c>
      <c r="M18" s="3">
        <f>F18+L18</f>
        <v>1.0</v>
      </c>
      <c r="N18" s="3">
        <f>IF(A18+1&gt;'Inputs'!$B$3,INDEX($D$2:$D$37,MAX(1,A18+1-'Inputs'!$B$3)),0)+F16+H16+F13+H13+F10+H10+(F7+H7)*(1-'Inputs'!$B$58)</f>
        <v>1.75</v>
      </c>
      <c r="O18" s="3">
        <f>IF(A18+1&gt;'Inputs'!$B$3,INDEX($D$2:$D$37,MAX(1,A18+1-'Inputs'!$B$3)),0)</f>
        <v>1</v>
      </c>
      <c r="P18" s="3">
        <f>F16+F13+F10</f>
        <v>0</v>
      </c>
      <c r="Q18" s="3">
        <f>H16+H13+H10+(F7+H7)*(1-'Inputs'!$B$58)</f>
        <v>0.75</v>
      </c>
      <c r="R18" s="3">
        <f>IF(A18&gt;'Inputs'!$B$4,INDEX($E$2:$E$37,MAX(1,A18-'Inputs'!$B$4)),0)</f>
        <v>1</v>
      </c>
      <c r="S18" s="3">
        <f>J18*'Inputs'!$B$54/12</f>
        <v>156250.0</v>
      </c>
      <c r="T18" s="3">
        <f>R18*'Inputs'!$B$55</f>
        <v>110000</v>
      </c>
      <c r="U18" s="3">
        <f>S18*IF(C18&gt;1,'Inputs'!$B$60,0)</f>
        <v>0.0</v>
      </c>
      <c r="V18" s="3">
        <f>SUM(S18:U18)</f>
        <v>266250.0</v>
      </c>
      <c r="W18" s="3">
        <f>J18*'Inputs'!$B$56/12</f>
        <v>93750.0</v>
      </c>
      <c r="X18" s="3">
        <f>J18*('Inputs'!$B$56*'Inputs'!$B$17+'Inputs'!$B$10*'Inputs'!$B$11+'Inputs'!$B$12*'Inputs'!$B$13+'Inputs'!$B$14*'Inputs'!$B$15+'Inputs'!$B$57+'Inputs'!$B$16)/12</f>
        <v>44687.5</v>
      </c>
      <c r="Y18" s="3">
        <f>MAX(Y17,ROUNDUP((J18+K18)/'Inputs'!$B$9,0))</f>
        <v>3</v>
      </c>
      <c r="Z18" s="3">
        <f>Y18*'Inputs'!$B$8/12</f>
        <v>45000.0</v>
      </c>
      <c r="AA18" s="3">
        <f>W18+X18+Z18</f>
        <v>183437.5</v>
      </c>
      <c r="AB18" s="3">
        <f>R18*('Inputs'!$B$19+'Inputs'!$B$20*'Inputs'!$B$21+'Inputs'!$B$22*'Inputs'!$B$11+'Inputs'!$B$23+'Inputs'!$B$24)</f>
        <v>94166.66666666667</v>
      </c>
      <c r="AC18" s="3">
        <f>U18*'Inputs'!$B$26</f>
        <v>0.0</v>
      </c>
      <c r="AD18" s="3">
        <f>AA18+AB18+AC18</f>
        <v>277604.1666666667</v>
      </c>
      <c r="AE18" s="3">
        <f>V18-AD18</f>
        <v>-11354.166666666686</v>
      </c>
      <c r="AF18" s="3">
        <f>'Inputs'!$B$28/12</f>
        <v>16500.0</v>
      </c>
      <c r="AG18" s="3">
        <f>'Inputs'!$B$62/12</f>
        <v>50000.0</v>
      </c>
      <c r="AH18" s="3">
        <f>'Inputs'!$B$31/12</f>
        <v>15000.0</v>
      </c>
      <c r="AI18" s="3">
        <f>'Inputs'!$B$34/12</f>
        <v>6666.666666666667</v>
      </c>
      <c r="AJ18" s="3">
        <f>'Inputs'!$B$37/12</f>
        <v>7500.0</v>
      </c>
      <c r="AK18" s="3">
        <f>MAX(1,ROUNDUP((SUM($D$14:$D$25)+0.5*SUM($E$14:$E$25))/'Inputs'!$B$40,0))</f>
        <v>1</v>
      </c>
      <c r="AL18" s="3">
        <f>AK18*'Inputs'!$B$39/12</f>
        <v>15000.0</v>
      </c>
      <c r="AM18" s="3">
        <f>D18*'Inputs'!$B$41+E18*'Inputs'!$B$42</f>
        <v>0</v>
      </c>
      <c r="AN18" s="3">
        <f>0</f>
        <v>0</v>
      </c>
      <c r="AO18" s="3">
        <f>AF18+AG18+AH18+AI18+AJ18+AL18+AM18+AN18</f>
        <v>110666.66666666667</v>
      </c>
      <c r="AP18" s="3">
        <f>AE18-AO18</f>
        <v>-122020.83333333336</v>
      </c>
      <c r="AQ18" s="3">
        <f>(D18+L18)*'Inputs'!$B$54/4</f>
        <v>125000.0</v>
      </c>
      <c r="AR18" s="3">
        <f>(E18*'Inputs'!$B$25+R18*(1-'Inputs'!$B$25))*'Inputs'!$B$55</f>
        <v>55000.0</v>
      </c>
      <c r="AS18" s="3">
        <f>AQ18+AR18+U18</f>
        <v>180000.0</v>
      </c>
      <c r="AT18" s="3">
        <f>IF(A18&gt;'Inputs'!$B$5,INDEX($AS$2:$AS$37,MAX(1,A18-'Inputs'!$B$5)),0)</f>
        <v>148750.0</v>
      </c>
      <c r="AU18" s="3">
        <f>'Inputs'!$B$56*(O18*'Inputs'!$B$53+P18*(1-'Inputs'!$B$53)/3+Q18/4)</f>
        <v>179249.99999999997</v>
      </c>
      <c r="AV18" s="3">
        <f>(E18+E17)*('Inputs'!$B$19+'Inputs'!$B$20*'Inputs'!$B$21+'Inputs'!$B$22*'Inputs'!$B$11+'Inputs'!$B$23+'Inputs'!$B$24)/2</f>
        <v>0.0</v>
      </c>
      <c r="AW18" s="3">
        <f>AU18+X18+Z18+AV18+AC18+AO18</f>
        <v>379604.1666666667</v>
      </c>
      <c r="AX18" s="3">
        <f>AT18-AW18</f>
        <v>-230854.1666666667</v>
      </c>
      <c r="AY18" s="3">
        <f>AY17+AX18</f>
        <v>-2720479.166666667</v>
      </c>
      <c r="AZ18" s="3">
        <f>AZ17+AS18-AT18</f>
        <v>430000.0</v>
      </c>
      <c r="BA18" s="3">
        <f>BA17+AQ18+AR18-S18-T18</f>
        <v>291666.66666666674</v>
      </c>
      <c r="BB18" s="3">
        <f>BB17+AU18-W18</f>
        <v>391250.0</v>
      </c>
      <c r="BC18" s="3">
        <f>BC17+AV18-AB18</f>
        <v>0.0</v>
      </c>
      <c r="BD18" s="3">
        <f>J18*'Inputs'!$B$54</f>
        <v>1875000.0</v>
      </c>
      <c r="BE18" s="3">
        <f>(J18+K18)/'Inputs'!$B$9</f>
        <v>2.375</v>
      </c>
      <c r="BF18" s="3">
        <f>J18*'Inputs'!$B$12</f>
        <v>0.75</v>
      </c>
      <c r="BG18" s="3">
        <f>J18*'Inputs'!$B$14</f>
        <v>0.75</v>
      </c>
      <c r="BH18" s="3">
        <f>J18*'Inputs'!$B$10/12+E18*'Inputs'!$B$22</f>
        <v>3.125</v>
      </c>
      <c r="BI18" s="3">
        <f>'Inputs'!$B$6*'Inputs'!$B$7*(F18*('Inputs'!$B$49+'Inputs'!$B$47)+L18*('Inputs'!$B$49+'Inputs'!$B$48))+E18*'Inputs'!$B$46*'Inputs'!$B$18</f>
        <v>1920.0</v>
      </c>
    </row>
    <row r="19" spans="1:61">
      <c r="A19">
        <v>18</v>
      </c>
      <c r="B19" t="s">
        <v>193</v>
      </c>
      <c r="C19">
        <v>2</v>
      </c>
      <c r="D19" s="2">
        <v>1</v>
      </c>
      <c r="E19" s="2">
        <v>1</v>
      </c>
      <c r="F19" s="3">
        <f>IF(A19&gt;'Inputs'!$B$3,INDEX($D$2:$D$37,MAX(1,A19-'Inputs'!$B$3)),0)</f>
        <v>1</v>
      </c>
      <c r="G19" s="3">
        <f>F7+H7</f>
        <v>0.0</v>
      </c>
      <c r="H19" s="3">
        <f>G19*(1-'Inputs'!$B$58)</f>
        <v>0.0</v>
      </c>
      <c r="I19" s="3">
        <f>G19-H19</f>
        <v>0.0</v>
      </c>
      <c r="J19" s="3">
        <f>J18+F19-I19</f>
        <v>4.75</v>
      </c>
      <c r="K19" s="3">
        <f>SUM($D$2:D19)-SUM($F$2:F19)</f>
        <v>1</v>
      </c>
      <c r="L19" s="3">
        <f>F16+H16+F13+H13+F10+H10+H19</f>
        <v>0.75</v>
      </c>
      <c r="M19" s="3">
        <f>F19+L19</f>
        <v>1.75</v>
      </c>
      <c r="N19" s="3">
        <f>IF(A19+1&gt;'Inputs'!$B$3,INDEX($D$2:$D$37,MAX(1,A19+1-'Inputs'!$B$3)),0)+F17+H17+F14+H14+F11+H11+(F8+H8)*(1-'Inputs'!$B$58)</f>
        <v>2.0</v>
      </c>
      <c r="O19" s="3">
        <f>IF(A19+1&gt;'Inputs'!$B$3,INDEX($D$2:$D$37,MAX(1,A19+1-'Inputs'!$B$3)),0)</f>
        <v>0</v>
      </c>
      <c r="P19" s="3">
        <f>F17+F14+F11</f>
        <v>2</v>
      </c>
      <c r="Q19" s="3">
        <f>H17+H14+H11+(F8+H8)*(1-'Inputs'!$B$58)</f>
        <v>0.0</v>
      </c>
      <c r="R19" s="3">
        <f>IF(A19&gt;'Inputs'!$B$4,INDEX($E$2:$E$37,MAX(1,A19-'Inputs'!$B$4)),0)</f>
        <v>0</v>
      </c>
      <c r="S19" s="3">
        <f>J19*'Inputs'!$B$54/12</f>
        <v>197916.66666666666</v>
      </c>
      <c r="T19" s="3">
        <f>R19*'Inputs'!$B$55</f>
        <v>0</v>
      </c>
      <c r="U19" s="3">
        <f>S19*IF(C19&gt;1,'Inputs'!$B$60,0)</f>
        <v>0.0</v>
      </c>
      <c r="V19" s="3">
        <f>SUM(S19:U19)</f>
        <v>197916.66666666666</v>
      </c>
      <c r="W19" s="3">
        <f>J19*'Inputs'!$B$56/12</f>
        <v>118750.0</v>
      </c>
      <c r="X19" s="3">
        <f>J19*('Inputs'!$B$56*'Inputs'!$B$17+'Inputs'!$B$10*'Inputs'!$B$11+'Inputs'!$B$12*'Inputs'!$B$13+'Inputs'!$B$14*'Inputs'!$B$15+'Inputs'!$B$57+'Inputs'!$B$16)/12</f>
        <v>56604.166666666664</v>
      </c>
      <c r="Y19" s="3">
        <f>MAX(Y18,ROUNDUP((J19+K19)/'Inputs'!$B$9,0))</f>
        <v>3</v>
      </c>
      <c r="Z19" s="3">
        <f>Y19*'Inputs'!$B$8/12</f>
        <v>45000.0</v>
      </c>
      <c r="AA19" s="3">
        <f>W19+X19+Z19</f>
        <v>220354.16666666666</v>
      </c>
      <c r="AB19" s="3">
        <f>R19*('Inputs'!$B$19+'Inputs'!$B$20*'Inputs'!$B$21+'Inputs'!$B$22*'Inputs'!$B$11+'Inputs'!$B$23+'Inputs'!$B$24)</f>
        <v>0.0</v>
      </c>
      <c r="AC19" s="3">
        <f>U19*'Inputs'!$B$26</f>
        <v>0.0</v>
      </c>
      <c r="AD19" s="3">
        <f>AA19+AB19+AC19</f>
        <v>220354.16666666666</v>
      </c>
      <c r="AE19" s="3">
        <f>V19-AD19</f>
        <v>-22437.5</v>
      </c>
      <c r="AF19" s="3">
        <f>'Inputs'!$B$28/12</f>
        <v>16500.0</v>
      </c>
      <c r="AG19" s="3">
        <f>'Inputs'!$B$62/12</f>
        <v>50000.0</v>
      </c>
      <c r="AH19" s="3">
        <f>'Inputs'!$B$31/12</f>
        <v>15000.0</v>
      </c>
      <c r="AI19" s="3">
        <f>'Inputs'!$B$34/12</f>
        <v>6666.666666666667</v>
      </c>
      <c r="AJ19" s="3">
        <f>'Inputs'!$B$37/12</f>
        <v>7500.0</v>
      </c>
      <c r="AK19" s="3">
        <f>MAX(1,ROUNDUP((SUM($D$14:$D$25)+0.5*SUM($E$14:$E$25))/'Inputs'!$B$40,0))</f>
        <v>1</v>
      </c>
      <c r="AL19" s="3">
        <f>AK19*'Inputs'!$B$39/12</f>
        <v>15000.0</v>
      </c>
      <c r="AM19" s="3">
        <f>D19*'Inputs'!$B$41+E19*'Inputs'!$B$42</f>
        <v>20000</v>
      </c>
      <c r="AN19" s="3">
        <f>0</f>
        <v>0</v>
      </c>
      <c r="AO19" s="3">
        <f>AF19+AG19+AH19+AI19+AJ19+AL19+AM19+AN19</f>
        <v>130666.66666666667</v>
      </c>
      <c r="AP19" s="3">
        <f>AE19-AO19</f>
        <v>-153104.1666666667</v>
      </c>
      <c r="AQ19" s="3">
        <f>(D19+L19)*'Inputs'!$B$54/4</f>
        <v>218750.0</v>
      </c>
      <c r="AR19" s="3">
        <f>(E19*'Inputs'!$B$25+R19*(1-'Inputs'!$B$25))*'Inputs'!$B$55</f>
        <v>55000.0</v>
      </c>
      <c r="AS19" s="3">
        <f>AQ19+AR19+U19</f>
        <v>273750.0</v>
      </c>
      <c r="AT19" s="3">
        <f>IF(A19&gt;'Inputs'!$B$5,INDEX($AS$2:$AS$37,MAX(1,A19-'Inputs'!$B$5)),0)</f>
        <v>250000.0</v>
      </c>
      <c r="AU19" s="3">
        <f>'Inputs'!$B$56*(O19*'Inputs'!$B$53+P19*(1-'Inputs'!$B$53)/3+Q19/4)</f>
        <v>118000.00000000001</v>
      </c>
      <c r="AV19" s="3">
        <f>(E19+E18)*('Inputs'!$B$19+'Inputs'!$B$20*'Inputs'!$B$21+'Inputs'!$B$22*'Inputs'!$B$11+'Inputs'!$B$23+'Inputs'!$B$24)/2</f>
        <v>47083.333333333336</v>
      </c>
      <c r="AW19" s="3">
        <f>AU19+X19+Z19+AV19+AC19+AO19</f>
        <v>397354.1666666667</v>
      </c>
      <c r="AX19" s="3">
        <f>AT19-AW19</f>
        <v>-147354.1666666667</v>
      </c>
      <c r="AY19" s="3">
        <f>AY18+AX19</f>
        <v>-2867833.3333333335</v>
      </c>
      <c r="AZ19" s="3">
        <f>AZ18+AS19-AT19</f>
        <v>453750.0</v>
      </c>
      <c r="BA19" s="3">
        <f>BA18+AQ19+AR19-S19-T19</f>
        <v>367500.0000000001</v>
      </c>
      <c r="BB19" s="3">
        <f>BB18+AU19-W19</f>
        <v>390500.0</v>
      </c>
      <c r="BC19" s="3">
        <f>BC18+AV19-AB19</f>
        <v>47083.333333333336</v>
      </c>
      <c r="BD19" s="3">
        <f>J19*'Inputs'!$B$54</f>
        <v>2375000.0</v>
      </c>
      <c r="BE19" s="3">
        <f>(J19+K19)/'Inputs'!$B$9</f>
        <v>2.875</v>
      </c>
      <c r="BF19" s="3">
        <f>J19*'Inputs'!$B$12</f>
        <v>0.9500000000000001</v>
      </c>
      <c r="BG19" s="3">
        <f>J19*'Inputs'!$B$14</f>
        <v>0.9500000000000001</v>
      </c>
      <c r="BH19" s="3">
        <f>J19*'Inputs'!$B$10/12+E19*'Inputs'!$B$22</f>
        <v>9.625</v>
      </c>
      <c r="BI19" s="3">
        <f>'Inputs'!$B$6*'Inputs'!$B$7*(F19*('Inputs'!$B$49+'Inputs'!$B$47)+L19*('Inputs'!$B$49+'Inputs'!$B$48))+E19*'Inputs'!$B$46*'Inputs'!$B$18</f>
        <v>5600.0</v>
      </c>
    </row>
    <row r="20" spans="1:61">
      <c r="A20">
        <v>19</v>
      </c>
      <c r="B20" t="s">
        <v>194</v>
      </c>
      <c r="C20">
        <v>2</v>
      </c>
      <c r="D20" s="2">
        <v>0</v>
      </c>
      <c r="E20" s="2">
        <v>0</v>
      </c>
      <c r="F20" s="3">
        <f>IF(A20&gt;'Inputs'!$B$3,INDEX($D$2:$D$37,MAX(1,A20-'Inputs'!$B$3)),0)</f>
        <v>0</v>
      </c>
      <c r="G20" s="3">
        <f>F8+H8</f>
        <v>0.0</v>
      </c>
      <c r="H20" s="3">
        <f>G20*(1-'Inputs'!$B$58)</f>
        <v>0.0</v>
      </c>
      <c r="I20" s="3">
        <f>G20-H20</f>
        <v>0.0</v>
      </c>
      <c r="J20" s="3">
        <f>J19+F20-I20</f>
        <v>4.75</v>
      </c>
      <c r="K20" s="3">
        <f>SUM($D$2:D20)-SUM($F$2:F20)</f>
        <v>1</v>
      </c>
      <c r="L20" s="3">
        <f>F17+H17+F14+H14+F11+H11+H20</f>
        <v>2.0</v>
      </c>
      <c r="M20" s="3">
        <f>F20+L20</f>
        <v>2.0</v>
      </c>
      <c r="N20" s="3">
        <f>IF(A20+1&gt;'Inputs'!$B$3,INDEX($D$2:$D$37,MAX(1,A20+1-'Inputs'!$B$3)),0)+F18+H18+F15+H15+F12+H12+(F9+H9)*(1-'Inputs'!$B$58)</f>
        <v>2.0</v>
      </c>
      <c r="O20" s="3">
        <f>IF(A20+1&gt;'Inputs'!$B$3,INDEX($D$2:$D$37,MAX(1,A20+1-'Inputs'!$B$3)),0)</f>
        <v>1</v>
      </c>
      <c r="P20" s="3">
        <f>F18+F15+F12</f>
        <v>1</v>
      </c>
      <c r="Q20" s="3">
        <f>H18+H15+H12+(F9+H9)*(1-'Inputs'!$B$58)</f>
        <v>0.0</v>
      </c>
      <c r="R20" s="3">
        <f>IF(A20&gt;'Inputs'!$B$4,INDEX($E$2:$E$37,MAX(1,A20-'Inputs'!$B$4)),0)</f>
        <v>0</v>
      </c>
      <c r="S20" s="3">
        <f>J20*'Inputs'!$B$54/12</f>
        <v>197916.66666666666</v>
      </c>
      <c r="T20" s="3">
        <f>R20*'Inputs'!$B$55</f>
        <v>0</v>
      </c>
      <c r="U20" s="3">
        <f>S20*IF(C20&gt;1,'Inputs'!$B$60,0)</f>
        <v>0.0</v>
      </c>
      <c r="V20" s="3">
        <f>SUM(S20:U20)</f>
        <v>197916.66666666666</v>
      </c>
      <c r="W20" s="3">
        <f>J20*'Inputs'!$B$56/12</f>
        <v>118750.0</v>
      </c>
      <c r="X20" s="3">
        <f>J20*('Inputs'!$B$56*'Inputs'!$B$17+'Inputs'!$B$10*'Inputs'!$B$11+'Inputs'!$B$12*'Inputs'!$B$13+'Inputs'!$B$14*'Inputs'!$B$15+'Inputs'!$B$57+'Inputs'!$B$16)/12</f>
        <v>56604.166666666664</v>
      </c>
      <c r="Y20" s="3">
        <f>MAX(Y19,ROUNDUP((J20+K20)/'Inputs'!$B$9,0))</f>
        <v>3</v>
      </c>
      <c r="Z20" s="3">
        <f>Y20*'Inputs'!$B$8/12</f>
        <v>45000.0</v>
      </c>
      <c r="AA20" s="3">
        <f>W20+X20+Z20</f>
        <v>220354.16666666666</v>
      </c>
      <c r="AB20" s="3">
        <f>R20*('Inputs'!$B$19+'Inputs'!$B$20*'Inputs'!$B$21+'Inputs'!$B$22*'Inputs'!$B$11+'Inputs'!$B$23+'Inputs'!$B$24)</f>
        <v>0.0</v>
      </c>
      <c r="AC20" s="3">
        <f>U20*'Inputs'!$B$26</f>
        <v>0.0</v>
      </c>
      <c r="AD20" s="3">
        <f>AA20+AB20+AC20</f>
        <v>220354.16666666666</v>
      </c>
      <c r="AE20" s="3">
        <f>V20-AD20</f>
        <v>-22437.5</v>
      </c>
      <c r="AF20" s="3">
        <f>'Inputs'!$B$28/12</f>
        <v>16500.0</v>
      </c>
      <c r="AG20" s="3">
        <f>'Inputs'!$B$62/12</f>
        <v>50000.0</v>
      </c>
      <c r="AH20" s="3">
        <f>'Inputs'!$B$31/12</f>
        <v>15000.0</v>
      </c>
      <c r="AI20" s="3">
        <f>'Inputs'!$B$34/12</f>
        <v>6666.666666666667</v>
      </c>
      <c r="AJ20" s="3">
        <f>'Inputs'!$B$37/12</f>
        <v>7500.0</v>
      </c>
      <c r="AK20" s="3">
        <f>MAX(1,ROUNDUP((SUM($D$14:$D$25)+0.5*SUM($E$14:$E$25))/'Inputs'!$B$40,0))</f>
        <v>1</v>
      </c>
      <c r="AL20" s="3">
        <f>AK20*'Inputs'!$B$39/12</f>
        <v>15000.0</v>
      </c>
      <c r="AM20" s="3">
        <f>D20*'Inputs'!$B$41+E20*'Inputs'!$B$42</f>
        <v>0</v>
      </c>
      <c r="AN20" s="3">
        <f>0</f>
        <v>0</v>
      </c>
      <c r="AO20" s="3">
        <f>AF20+AG20+AH20+AI20+AJ20+AL20+AM20+AN20</f>
        <v>110666.66666666667</v>
      </c>
      <c r="AP20" s="3">
        <f>AE20-AO20</f>
        <v>-133104.1666666667</v>
      </c>
      <c r="AQ20" s="3">
        <f>(D20+L20)*'Inputs'!$B$54/4</f>
        <v>250000.0</v>
      </c>
      <c r="AR20" s="3">
        <f>(E20*'Inputs'!$B$25+R20*(1-'Inputs'!$B$25))*'Inputs'!$B$55</f>
        <v>0.0</v>
      </c>
      <c r="AS20" s="3">
        <f>AQ20+AR20+U20</f>
        <v>250000.0</v>
      </c>
      <c r="AT20" s="3">
        <f>IF(A20&gt;'Inputs'!$B$5,INDEX($AS$2:$AS$37,MAX(1,A20-'Inputs'!$B$5)),0)</f>
        <v>180000.0</v>
      </c>
      <c r="AU20" s="3">
        <f>'Inputs'!$B$56*(O20*'Inputs'!$B$53+P20*(1-'Inputs'!$B$53)/3+Q20/4)</f>
        <v>182000.0</v>
      </c>
      <c r="AV20" s="3">
        <f>(E20+E19)*('Inputs'!$B$19+'Inputs'!$B$20*'Inputs'!$B$21+'Inputs'!$B$22*'Inputs'!$B$11+'Inputs'!$B$23+'Inputs'!$B$24)/2</f>
        <v>47083.333333333336</v>
      </c>
      <c r="AW20" s="3">
        <f>AU20+X20+Z20+AV20+AC20+AO20</f>
        <v>441354.1666666666</v>
      </c>
      <c r="AX20" s="3">
        <f>AT20-AW20</f>
        <v>-261354.16666666663</v>
      </c>
      <c r="AY20" s="3">
        <f>AY19+AX20</f>
        <v>-3129187.5</v>
      </c>
      <c r="AZ20" s="3">
        <f>AZ19+AS20-AT20</f>
        <v>523750.0</v>
      </c>
      <c r="BA20" s="3">
        <f>BA19+AQ20+AR20-S20-T20</f>
        <v>419583.3333333335</v>
      </c>
      <c r="BB20" s="3">
        <f>BB19+AU20-W20</f>
        <v>453750.0</v>
      </c>
      <c r="BC20" s="3">
        <f>BC19+AV20-AB20</f>
        <v>94166.66666666667</v>
      </c>
      <c r="BD20" s="3">
        <f>J20*'Inputs'!$B$54</f>
        <v>2375000.0</v>
      </c>
      <c r="BE20" s="3">
        <f>(J20+K20)/'Inputs'!$B$9</f>
        <v>2.875</v>
      </c>
      <c r="BF20" s="3">
        <f>J20*'Inputs'!$B$12</f>
        <v>0.9500000000000001</v>
      </c>
      <c r="BG20" s="3">
        <f>J20*'Inputs'!$B$14</f>
        <v>0.9500000000000001</v>
      </c>
      <c r="BH20" s="3">
        <f>J20*'Inputs'!$B$10/12+E20*'Inputs'!$B$22</f>
        <v>3.9583333333333335</v>
      </c>
      <c r="BI20" s="3">
        <f>'Inputs'!$B$6*'Inputs'!$B$7*(F20*('Inputs'!$B$49+'Inputs'!$B$47)+L20*('Inputs'!$B$49+'Inputs'!$B$48))+E20*'Inputs'!$B$46*'Inputs'!$B$18</f>
        <v>3840.0</v>
      </c>
    </row>
    <row r="21" spans="1:61">
      <c r="A21">
        <v>20</v>
      </c>
      <c r="B21" t="s">
        <v>195</v>
      </c>
      <c r="C21">
        <v>2</v>
      </c>
      <c r="D21" s="2">
        <v>1</v>
      </c>
      <c r="E21" s="2">
        <v>0</v>
      </c>
      <c r="F21" s="3">
        <f>IF(A21&gt;'Inputs'!$B$3,INDEX($D$2:$D$37,MAX(1,A21-'Inputs'!$B$3)),0)</f>
        <v>1</v>
      </c>
      <c r="G21" s="3">
        <f>F9+H9</f>
        <v>0.0</v>
      </c>
      <c r="H21" s="3">
        <f>G21*(1-'Inputs'!$B$58)</f>
        <v>0.0</v>
      </c>
      <c r="I21" s="3">
        <f>G21-H21</f>
        <v>0.0</v>
      </c>
      <c r="J21" s="3">
        <f>J20+F21-I21</f>
        <v>5.75</v>
      </c>
      <c r="K21" s="3">
        <f>SUM($D$2:D21)-SUM($F$2:F21)</f>
        <v>1</v>
      </c>
      <c r="L21" s="3">
        <f>F18+H18+F15+H15+F12+H12+H21</f>
        <v>1.0</v>
      </c>
      <c r="M21" s="3">
        <f>F21+L21</f>
        <v>2.0</v>
      </c>
      <c r="N21" s="3">
        <f>IF(A21+1&gt;'Inputs'!$B$3,INDEX($D$2:$D$37,MAX(1,A21+1-'Inputs'!$B$3)),0)+F19+H19+F16+H16+F13+H13+(F10+H10)*(1-'Inputs'!$B$58)</f>
        <v>1.75</v>
      </c>
      <c r="O21" s="3">
        <f>IF(A21+1&gt;'Inputs'!$B$3,INDEX($D$2:$D$37,MAX(1,A21+1-'Inputs'!$B$3)),0)</f>
        <v>0</v>
      </c>
      <c r="P21" s="3">
        <f>F19+F16+F13</f>
        <v>1</v>
      </c>
      <c r="Q21" s="3">
        <f>H19+H16+H13+(F10+H10)*(1-'Inputs'!$B$58)</f>
        <v>0.75</v>
      </c>
      <c r="R21" s="3">
        <f>IF(A21&gt;'Inputs'!$B$4,INDEX($E$2:$E$37,MAX(1,A21-'Inputs'!$B$4)),0)</f>
        <v>1</v>
      </c>
      <c r="S21" s="3">
        <f>J21*'Inputs'!$B$54/12</f>
        <v>239583.33333333334</v>
      </c>
      <c r="T21" s="3">
        <f>R21*'Inputs'!$B$55</f>
        <v>110000</v>
      </c>
      <c r="U21" s="3">
        <f>S21*IF(C21&gt;1,'Inputs'!$B$60,0)</f>
        <v>0.0</v>
      </c>
      <c r="V21" s="3">
        <f>SUM(S21:U21)</f>
        <v>349583.3333333334</v>
      </c>
      <c r="W21" s="3">
        <f>J21*'Inputs'!$B$56/12</f>
        <v>143750.0</v>
      </c>
      <c r="X21" s="3">
        <f>J21*('Inputs'!$B$56*'Inputs'!$B$17+'Inputs'!$B$10*'Inputs'!$B$11+'Inputs'!$B$12*'Inputs'!$B$13+'Inputs'!$B$14*'Inputs'!$B$15+'Inputs'!$B$57+'Inputs'!$B$16)/12</f>
        <v>68520.83333333333</v>
      </c>
      <c r="Y21" s="3">
        <f>MAX(Y20,ROUNDUP((J21+K21)/'Inputs'!$B$9,0))</f>
        <v>4</v>
      </c>
      <c r="Z21" s="3">
        <f>Y21*'Inputs'!$B$8/12</f>
        <v>60000.0</v>
      </c>
      <c r="AA21" s="3">
        <f>W21+X21+Z21</f>
        <v>272270.8333333333</v>
      </c>
      <c r="AB21" s="3">
        <f>R21*('Inputs'!$B$19+'Inputs'!$B$20*'Inputs'!$B$21+'Inputs'!$B$22*'Inputs'!$B$11+'Inputs'!$B$23+'Inputs'!$B$24)</f>
        <v>94166.66666666667</v>
      </c>
      <c r="AC21" s="3">
        <f>U21*'Inputs'!$B$26</f>
        <v>0.0</v>
      </c>
      <c r="AD21" s="3">
        <f>AA21+AB21+AC21</f>
        <v>366437.5</v>
      </c>
      <c r="AE21" s="3">
        <f>V21-AD21</f>
        <v>-16854.166666666628</v>
      </c>
      <c r="AF21" s="3">
        <f>'Inputs'!$B$28/12</f>
        <v>16500.0</v>
      </c>
      <c r="AG21" s="3">
        <f>'Inputs'!$B$62/12</f>
        <v>50000.0</v>
      </c>
      <c r="AH21" s="3">
        <f>'Inputs'!$B$31/12</f>
        <v>15000.0</v>
      </c>
      <c r="AI21" s="3">
        <f>'Inputs'!$B$34/12</f>
        <v>6666.666666666667</v>
      </c>
      <c r="AJ21" s="3">
        <f>'Inputs'!$B$37/12</f>
        <v>7500.0</v>
      </c>
      <c r="AK21" s="3">
        <f>MAX(1,ROUNDUP((SUM($D$14:$D$25)+0.5*SUM($E$14:$E$25))/'Inputs'!$B$40,0))</f>
        <v>1</v>
      </c>
      <c r="AL21" s="3">
        <f>AK21*'Inputs'!$B$39/12</f>
        <v>15000.0</v>
      </c>
      <c r="AM21" s="3">
        <f>D21*'Inputs'!$B$41+E21*'Inputs'!$B$42</f>
        <v>15000</v>
      </c>
      <c r="AN21" s="3">
        <f>0</f>
        <v>0</v>
      </c>
      <c r="AO21" s="3">
        <f>AF21+AG21+AH21+AI21+AJ21+AL21+AM21+AN21</f>
        <v>125666.66666666667</v>
      </c>
      <c r="AP21" s="3">
        <f>AE21-AO21</f>
        <v>-142520.8333333333</v>
      </c>
      <c r="AQ21" s="3">
        <f>(D21+L21)*'Inputs'!$B$54/4</f>
        <v>250000.0</v>
      </c>
      <c r="AR21" s="3">
        <f>(E21*'Inputs'!$B$25+R21*(1-'Inputs'!$B$25))*'Inputs'!$B$55</f>
        <v>55000.0</v>
      </c>
      <c r="AS21" s="3">
        <f>AQ21+AR21+U21</f>
        <v>305000.0</v>
      </c>
      <c r="AT21" s="3">
        <f>IF(A21&gt;'Inputs'!$B$5,INDEX($AS$2:$AS$37,MAX(1,A21-'Inputs'!$B$5)),0)</f>
        <v>273750.0</v>
      </c>
      <c r="AU21" s="3">
        <f>'Inputs'!$B$56*(O21*'Inputs'!$B$53+P21*(1-'Inputs'!$B$53)/3+Q21/4)</f>
        <v>115250.0</v>
      </c>
      <c r="AV21" s="3">
        <f>(E21+E20)*('Inputs'!$B$19+'Inputs'!$B$20*'Inputs'!$B$21+'Inputs'!$B$22*'Inputs'!$B$11+'Inputs'!$B$23+'Inputs'!$B$24)/2</f>
        <v>0.0</v>
      </c>
      <c r="AW21" s="3">
        <f>AU21+X21+Z21+AV21+AC21+AO21</f>
        <v>369437.5</v>
      </c>
      <c r="AX21" s="3">
        <f>AT21-AW21</f>
        <v>-95687.5</v>
      </c>
      <c r="AY21" s="3">
        <f>AY20+AX21</f>
        <v>-3224875.0</v>
      </c>
      <c r="AZ21" s="3">
        <f>AZ20+AS21-AT21</f>
        <v>555000.0</v>
      </c>
      <c r="BA21" s="3">
        <f>BA20+AQ21+AR21-S21-T21</f>
        <v>375000.0000000001</v>
      </c>
      <c r="BB21" s="3">
        <f>BB20+AU21-W21</f>
        <v>425250.0</v>
      </c>
      <c r="BC21" s="3">
        <f>BC20+AV21-AB21</f>
        <v>0.0</v>
      </c>
      <c r="BD21" s="3">
        <f>J21*'Inputs'!$B$54</f>
        <v>2875000.0</v>
      </c>
      <c r="BE21" s="3">
        <f>(J21+K21)/'Inputs'!$B$9</f>
        <v>3.375</v>
      </c>
      <c r="BF21" s="3">
        <f>J21*'Inputs'!$B$12</f>
        <v>1.1500000000000001</v>
      </c>
      <c r="BG21" s="3">
        <f>J21*'Inputs'!$B$14</f>
        <v>1.1500000000000001</v>
      </c>
      <c r="BH21" s="3">
        <f>J21*'Inputs'!$B$10/12+E21*'Inputs'!$B$22</f>
        <v>4.791666666666667</v>
      </c>
      <c r="BI21" s="3">
        <f>'Inputs'!$B$6*'Inputs'!$B$7*(F21*('Inputs'!$B$49+'Inputs'!$B$47)+L21*('Inputs'!$B$49+'Inputs'!$B$48))+E21*'Inputs'!$B$46*'Inputs'!$B$18</f>
        <v>4320.0</v>
      </c>
    </row>
    <row r="22" spans="1:61">
      <c r="A22">
        <v>21</v>
      </c>
      <c r="B22" t="s">
        <v>196</v>
      </c>
      <c r="C22">
        <v>2</v>
      </c>
      <c r="D22" s="2">
        <v>0</v>
      </c>
      <c r="E22" s="2">
        <v>1</v>
      </c>
      <c r="F22" s="3">
        <f>IF(A22&gt;'Inputs'!$B$3,INDEX($D$2:$D$37,MAX(1,A22-'Inputs'!$B$3)),0)</f>
        <v>0</v>
      </c>
      <c r="G22" s="3">
        <f>F10+H10</f>
        <v>0.0</v>
      </c>
      <c r="H22" s="3">
        <f>G22*(1-'Inputs'!$B$58)</f>
        <v>0.0</v>
      </c>
      <c r="I22" s="3">
        <f>G22-H22</f>
        <v>0.0</v>
      </c>
      <c r="J22" s="3">
        <f>J21+F22-I22</f>
        <v>5.75</v>
      </c>
      <c r="K22" s="3">
        <f>SUM($D$2:D22)-SUM($F$2:F22)</f>
        <v>1</v>
      </c>
      <c r="L22" s="3">
        <f>F19+H19+F16+H16+F13+H13+H22</f>
        <v>1.75</v>
      </c>
      <c r="M22" s="3">
        <f>F22+L22</f>
        <v>1.75</v>
      </c>
      <c r="N22" s="3">
        <f>IF(A22+1&gt;'Inputs'!$B$3,INDEX($D$2:$D$37,MAX(1,A22+1-'Inputs'!$B$3)),0)+F20+H20+F17+H17+F14+H14+(F11+H11)*(1-'Inputs'!$B$58)</f>
        <v>3.0</v>
      </c>
      <c r="O22" s="3">
        <f>IF(A22+1&gt;'Inputs'!$B$3,INDEX($D$2:$D$37,MAX(1,A22+1-'Inputs'!$B$3)),0)</f>
        <v>1</v>
      </c>
      <c r="P22" s="3">
        <f>F20+F17+F14</f>
        <v>2</v>
      </c>
      <c r="Q22" s="3">
        <f>H20+H17+H14+(F11+H11)*(1-'Inputs'!$B$58)</f>
        <v>0.0</v>
      </c>
      <c r="R22" s="3">
        <f>IF(A22&gt;'Inputs'!$B$4,INDEX($E$2:$E$37,MAX(1,A22-'Inputs'!$B$4)),0)</f>
        <v>0</v>
      </c>
      <c r="S22" s="3">
        <f>J22*'Inputs'!$B$54/12</f>
        <v>239583.33333333334</v>
      </c>
      <c r="T22" s="3">
        <f>R22*'Inputs'!$B$55</f>
        <v>0</v>
      </c>
      <c r="U22" s="3">
        <f>S22*IF(C22&gt;1,'Inputs'!$B$60,0)</f>
        <v>0.0</v>
      </c>
      <c r="V22" s="3">
        <f>SUM(S22:U22)</f>
        <v>239583.33333333334</v>
      </c>
      <c r="W22" s="3">
        <f>J22*'Inputs'!$B$56/12</f>
        <v>143750.0</v>
      </c>
      <c r="X22" s="3">
        <f>J22*('Inputs'!$B$56*'Inputs'!$B$17+'Inputs'!$B$10*'Inputs'!$B$11+'Inputs'!$B$12*'Inputs'!$B$13+'Inputs'!$B$14*'Inputs'!$B$15+'Inputs'!$B$57+'Inputs'!$B$16)/12</f>
        <v>68520.83333333333</v>
      </c>
      <c r="Y22" s="3">
        <f>MAX(Y21,ROUNDUP((J22+K22)/'Inputs'!$B$9,0))</f>
        <v>4</v>
      </c>
      <c r="Z22" s="3">
        <f>Y22*'Inputs'!$B$8/12</f>
        <v>60000.0</v>
      </c>
      <c r="AA22" s="3">
        <f>W22+X22+Z22</f>
        <v>272270.8333333333</v>
      </c>
      <c r="AB22" s="3">
        <f>R22*('Inputs'!$B$19+'Inputs'!$B$20*'Inputs'!$B$21+'Inputs'!$B$22*'Inputs'!$B$11+'Inputs'!$B$23+'Inputs'!$B$24)</f>
        <v>0.0</v>
      </c>
      <c r="AC22" s="3">
        <f>U22*'Inputs'!$B$26</f>
        <v>0.0</v>
      </c>
      <c r="AD22" s="3">
        <f>AA22+AB22+AC22</f>
        <v>272270.8333333333</v>
      </c>
      <c r="AE22" s="3">
        <f>V22-AD22</f>
        <v>-32687.49999999997</v>
      </c>
      <c r="AF22" s="3">
        <f>'Inputs'!$B$28/12</f>
        <v>16500.0</v>
      </c>
      <c r="AG22" s="3">
        <f>'Inputs'!$B$62/12</f>
        <v>50000.0</v>
      </c>
      <c r="AH22" s="3">
        <f>'Inputs'!$B$31/12</f>
        <v>15000.0</v>
      </c>
      <c r="AI22" s="3">
        <f>'Inputs'!$B$34/12</f>
        <v>6666.666666666667</v>
      </c>
      <c r="AJ22" s="3">
        <f>'Inputs'!$B$37/12</f>
        <v>7500.0</v>
      </c>
      <c r="AK22" s="3">
        <f>MAX(1,ROUNDUP((SUM($D$14:$D$25)+0.5*SUM($E$14:$E$25))/'Inputs'!$B$40,0))</f>
        <v>1</v>
      </c>
      <c r="AL22" s="3">
        <f>AK22*'Inputs'!$B$39/12</f>
        <v>15000.0</v>
      </c>
      <c r="AM22" s="3">
        <f>D22*'Inputs'!$B$41+E22*'Inputs'!$B$42</f>
        <v>5000</v>
      </c>
      <c r="AN22" s="3">
        <f>0</f>
        <v>0</v>
      </c>
      <c r="AO22" s="3">
        <f>AF22+AG22+AH22+AI22+AJ22+AL22+AM22+AN22</f>
        <v>115666.66666666667</v>
      </c>
      <c r="AP22" s="3">
        <f>AE22-AO22</f>
        <v>-148354.16666666663</v>
      </c>
      <c r="AQ22" s="3">
        <f>(D22+L22)*'Inputs'!$B$54/4</f>
        <v>218750.0</v>
      </c>
      <c r="AR22" s="3">
        <f>(E22*'Inputs'!$B$25+R22*(1-'Inputs'!$B$25))*'Inputs'!$B$55</f>
        <v>55000.0</v>
      </c>
      <c r="AS22" s="3">
        <f>AQ22+AR22+U22</f>
        <v>273750.0</v>
      </c>
      <c r="AT22" s="3">
        <f>IF(A22&gt;'Inputs'!$B$5,INDEX($AS$2:$AS$37,MAX(1,A22-'Inputs'!$B$5)),0)</f>
        <v>250000.0</v>
      </c>
      <c r="AU22" s="3">
        <f>'Inputs'!$B$56*(O22*'Inputs'!$B$53+P22*(1-'Inputs'!$B$53)/3+Q22/4)</f>
        <v>241000.0</v>
      </c>
      <c r="AV22" s="3">
        <f>(E22+E21)*('Inputs'!$B$19+'Inputs'!$B$20*'Inputs'!$B$21+'Inputs'!$B$22*'Inputs'!$B$11+'Inputs'!$B$23+'Inputs'!$B$24)/2</f>
        <v>47083.333333333336</v>
      </c>
      <c r="AW22" s="3">
        <f>AU22+X22+Z22+AV22+AC22+AO22</f>
        <v>532270.8333333333</v>
      </c>
      <c r="AX22" s="3">
        <f>AT22-AW22</f>
        <v>-282270.83333333326</v>
      </c>
      <c r="AY22" s="3">
        <f>AY21+AX22</f>
        <v>-3507145.833333333</v>
      </c>
      <c r="AZ22" s="3">
        <f>AZ21+AS22-AT22</f>
        <v>578750.0</v>
      </c>
      <c r="BA22" s="3">
        <f>BA21+AQ22+AR22-S22-T22</f>
        <v>409166.66666666674</v>
      </c>
      <c r="BB22" s="3">
        <f>BB21+AU22-W22</f>
        <v>522500.0</v>
      </c>
      <c r="BC22" s="3">
        <f>BC21+AV22-AB22</f>
        <v>47083.333333333336</v>
      </c>
      <c r="BD22" s="3">
        <f>J22*'Inputs'!$B$54</f>
        <v>2875000.0</v>
      </c>
      <c r="BE22" s="3">
        <f>(J22+K22)/'Inputs'!$B$9</f>
        <v>3.375</v>
      </c>
      <c r="BF22" s="3">
        <f>J22*'Inputs'!$B$12</f>
        <v>1.1500000000000001</v>
      </c>
      <c r="BG22" s="3">
        <f>J22*'Inputs'!$B$14</f>
        <v>1.1500000000000001</v>
      </c>
      <c r="BH22" s="3">
        <f>J22*'Inputs'!$B$10/12+E22*'Inputs'!$B$22</f>
        <v>10.458333333333332</v>
      </c>
      <c r="BI22" s="3">
        <f>'Inputs'!$B$6*'Inputs'!$B$7*(F22*('Inputs'!$B$49+'Inputs'!$B$47)+L22*('Inputs'!$B$49+'Inputs'!$B$48))+E22*'Inputs'!$B$46*'Inputs'!$B$18</f>
        <v>5120.0</v>
      </c>
    </row>
    <row r="23" spans="1:61">
      <c r="A23">
        <v>22</v>
      </c>
      <c r="B23" t="s">
        <v>197</v>
      </c>
      <c r="C23">
        <v>2</v>
      </c>
      <c r="D23" s="2">
        <v>1</v>
      </c>
      <c r="E23" s="2">
        <v>0</v>
      </c>
      <c r="F23" s="3">
        <f>IF(A23&gt;'Inputs'!$B$3,INDEX($D$2:$D$37,MAX(1,A23-'Inputs'!$B$3)),0)</f>
        <v>1</v>
      </c>
      <c r="G23" s="3">
        <f>F11+H11</f>
        <v>0.0</v>
      </c>
      <c r="H23" s="3">
        <f>G23*(1-'Inputs'!$B$58)</f>
        <v>0.0</v>
      </c>
      <c r="I23" s="3">
        <f>G23-H23</f>
        <v>0.0</v>
      </c>
      <c r="J23" s="3">
        <f>J22+F23-I23</f>
        <v>6.75</v>
      </c>
      <c r="K23" s="3">
        <f>SUM($D$2:D23)-SUM($F$2:F23)</f>
        <v>1</v>
      </c>
      <c r="L23" s="3">
        <f>F20+H20+F17+H17+F14+H14+H23</f>
        <v>2.0</v>
      </c>
      <c r="M23" s="3">
        <f>F23+L23</f>
        <v>3.0</v>
      </c>
      <c r="N23" s="3">
        <f>IF(A23+1&gt;'Inputs'!$B$3,INDEX($D$2:$D$37,MAX(1,A23+1-'Inputs'!$B$3)),0)+F21+H21+F18+H18+F15+H15+(F12+H12)*(1-'Inputs'!$B$58)</f>
        <v>2.0</v>
      </c>
      <c r="O23" s="3">
        <f>IF(A23+1&gt;'Inputs'!$B$3,INDEX($D$2:$D$37,MAX(1,A23+1-'Inputs'!$B$3)),0)</f>
        <v>0</v>
      </c>
      <c r="P23" s="3">
        <f>F21+F18+F15</f>
        <v>2</v>
      </c>
      <c r="Q23" s="3">
        <f>H21+H18+H15+(F12+H12)*(1-'Inputs'!$B$58)</f>
        <v>0.0</v>
      </c>
      <c r="R23" s="3">
        <f>IF(A23&gt;'Inputs'!$B$4,INDEX($E$2:$E$37,MAX(1,A23-'Inputs'!$B$4)),0)</f>
        <v>0</v>
      </c>
      <c r="S23" s="3">
        <f>J23*'Inputs'!$B$54/12</f>
        <v>281250.0</v>
      </c>
      <c r="T23" s="3">
        <f>R23*'Inputs'!$B$55</f>
        <v>0</v>
      </c>
      <c r="U23" s="3">
        <f>S23*IF(C23&gt;1,'Inputs'!$B$60,0)</f>
        <v>0.0</v>
      </c>
      <c r="V23" s="3">
        <f>SUM(S23:U23)</f>
        <v>281250.0</v>
      </c>
      <c r="W23" s="3">
        <f>J23*'Inputs'!$B$56/12</f>
        <v>168750.0</v>
      </c>
      <c r="X23" s="3">
        <f>J23*('Inputs'!$B$56*'Inputs'!$B$17+'Inputs'!$B$10*'Inputs'!$B$11+'Inputs'!$B$12*'Inputs'!$B$13+'Inputs'!$B$14*'Inputs'!$B$15+'Inputs'!$B$57+'Inputs'!$B$16)/12</f>
        <v>80437.5</v>
      </c>
      <c r="Y23" s="3">
        <f>MAX(Y22,ROUNDUP((J23+K23)/'Inputs'!$B$9,0))</f>
        <v>4</v>
      </c>
      <c r="Z23" s="3">
        <f>Y23*'Inputs'!$B$8/12</f>
        <v>60000.0</v>
      </c>
      <c r="AA23" s="3">
        <f>W23+X23+Z23</f>
        <v>309187.5</v>
      </c>
      <c r="AB23" s="3">
        <f>R23*('Inputs'!$B$19+'Inputs'!$B$20*'Inputs'!$B$21+'Inputs'!$B$22*'Inputs'!$B$11+'Inputs'!$B$23+'Inputs'!$B$24)</f>
        <v>0.0</v>
      </c>
      <c r="AC23" s="3">
        <f>U23*'Inputs'!$B$26</f>
        <v>0.0</v>
      </c>
      <c r="AD23" s="3">
        <f>AA23+AB23+AC23</f>
        <v>309187.5</v>
      </c>
      <c r="AE23" s="3">
        <f>V23-AD23</f>
        <v>-27937.5</v>
      </c>
      <c r="AF23" s="3">
        <f>'Inputs'!$B$28/12</f>
        <v>16500.0</v>
      </c>
      <c r="AG23" s="3">
        <f>'Inputs'!$B$62/12</f>
        <v>50000.0</v>
      </c>
      <c r="AH23" s="3">
        <f>'Inputs'!$B$31/12</f>
        <v>15000.0</v>
      </c>
      <c r="AI23" s="3">
        <f>'Inputs'!$B$34/12</f>
        <v>6666.666666666667</v>
      </c>
      <c r="AJ23" s="3">
        <f>'Inputs'!$B$37/12</f>
        <v>7500.0</v>
      </c>
      <c r="AK23" s="3">
        <f>MAX(1,ROUNDUP((SUM($D$14:$D$25)+0.5*SUM($E$14:$E$25))/'Inputs'!$B$40,0))</f>
        <v>1</v>
      </c>
      <c r="AL23" s="3">
        <f>AK23*'Inputs'!$B$39/12</f>
        <v>15000.0</v>
      </c>
      <c r="AM23" s="3">
        <f>D23*'Inputs'!$B$41+E23*'Inputs'!$B$42</f>
        <v>15000</v>
      </c>
      <c r="AN23" s="3">
        <f>0</f>
        <v>0</v>
      </c>
      <c r="AO23" s="3">
        <f>AF23+AG23+AH23+AI23+AJ23+AL23+AM23+AN23</f>
        <v>125666.66666666667</v>
      </c>
      <c r="AP23" s="3">
        <f>AE23-AO23</f>
        <v>-153604.1666666667</v>
      </c>
      <c r="AQ23" s="3">
        <f>(D23+L23)*'Inputs'!$B$54/4</f>
        <v>375000.0</v>
      </c>
      <c r="AR23" s="3">
        <f>(E23*'Inputs'!$B$25+R23*(1-'Inputs'!$B$25))*'Inputs'!$B$55</f>
        <v>0.0</v>
      </c>
      <c r="AS23" s="3">
        <f>AQ23+AR23+U23</f>
        <v>375000.0</v>
      </c>
      <c r="AT23" s="3">
        <f>IF(A23&gt;'Inputs'!$B$5,INDEX($AS$2:$AS$37,MAX(1,A23-'Inputs'!$B$5)),0)</f>
        <v>305000.0</v>
      </c>
      <c r="AU23" s="3">
        <f>'Inputs'!$B$56*(O23*'Inputs'!$B$53+P23*(1-'Inputs'!$B$53)/3+Q23/4)</f>
        <v>118000.00000000001</v>
      </c>
      <c r="AV23" s="3">
        <f>(E23+E22)*('Inputs'!$B$19+'Inputs'!$B$20*'Inputs'!$B$21+'Inputs'!$B$22*'Inputs'!$B$11+'Inputs'!$B$23+'Inputs'!$B$24)/2</f>
        <v>47083.333333333336</v>
      </c>
      <c r="AW23" s="3">
        <f>AU23+X23+Z23+AV23+AC23+AO23</f>
        <v>431187.5</v>
      </c>
      <c r="AX23" s="3">
        <f>AT23-AW23</f>
        <v>-126187.5</v>
      </c>
      <c r="AY23" s="3">
        <f>AY22+AX23</f>
        <v>-3633333.333333333</v>
      </c>
      <c r="AZ23" s="3">
        <f>AZ22+AS23-AT23</f>
        <v>648750.0</v>
      </c>
      <c r="BA23" s="3">
        <f>BA22+AQ23+AR23-S23-T23</f>
        <v>502916.66666666674</v>
      </c>
      <c r="BB23" s="3">
        <f>BB22+AU23-W23</f>
        <v>471750.0</v>
      </c>
      <c r="BC23" s="3">
        <f>BC22+AV23-AB23</f>
        <v>94166.66666666667</v>
      </c>
      <c r="BD23" s="3">
        <f>J23*'Inputs'!$B$54</f>
        <v>3375000.0</v>
      </c>
      <c r="BE23" s="3">
        <f>(J23+K23)/'Inputs'!$B$9</f>
        <v>3.875</v>
      </c>
      <c r="BF23" s="3">
        <f>J23*'Inputs'!$B$12</f>
        <v>1.35</v>
      </c>
      <c r="BG23" s="3">
        <f>J23*'Inputs'!$B$14</f>
        <v>1.35</v>
      </c>
      <c r="BH23" s="3">
        <f>J23*'Inputs'!$B$10/12+E23*'Inputs'!$B$22</f>
        <v>5.625</v>
      </c>
      <c r="BI23" s="3">
        <f>'Inputs'!$B$6*'Inputs'!$B$7*(F23*('Inputs'!$B$49+'Inputs'!$B$47)+L23*('Inputs'!$B$49+'Inputs'!$B$48))+E23*'Inputs'!$B$46*'Inputs'!$B$18</f>
        <v>6240.0</v>
      </c>
    </row>
    <row r="24" spans="1:61">
      <c r="A24">
        <v>23</v>
      </c>
      <c r="B24" t="s">
        <v>198</v>
      </c>
      <c r="C24">
        <v>2</v>
      </c>
      <c r="D24" s="2">
        <v>0</v>
      </c>
      <c r="E24" s="2">
        <v>0</v>
      </c>
      <c r="F24" s="3">
        <f>IF(A24&gt;'Inputs'!$B$3,INDEX($D$2:$D$37,MAX(1,A24-'Inputs'!$B$3)),0)</f>
        <v>0</v>
      </c>
      <c r="G24" s="3">
        <f>F12+H12</f>
        <v>0.0</v>
      </c>
      <c r="H24" s="3">
        <f>G24*(1-'Inputs'!$B$58)</f>
        <v>0.0</v>
      </c>
      <c r="I24" s="3">
        <f>G24-H24</f>
        <v>0.0</v>
      </c>
      <c r="J24" s="3">
        <f>J23+F24-I24</f>
        <v>6.75</v>
      </c>
      <c r="K24" s="3">
        <f>SUM($D$2:D24)-SUM($F$2:F24)</f>
        <v>1</v>
      </c>
      <c r="L24" s="3">
        <f>F21+H21+F18+H18+F15+H15+H24</f>
        <v>2.0</v>
      </c>
      <c r="M24" s="3">
        <f>F24+L24</f>
        <v>2.0</v>
      </c>
      <c r="N24" s="3">
        <f>IF(A24+1&gt;'Inputs'!$B$3,INDEX($D$2:$D$37,MAX(1,A24+1-'Inputs'!$B$3)),0)+F22+H22+F19+H19+F16+H16+(F13+H13)*(1-'Inputs'!$B$58)</f>
        <v>2.75</v>
      </c>
      <c r="O24" s="3">
        <f>IF(A24+1&gt;'Inputs'!$B$3,INDEX($D$2:$D$37,MAX(1,A24+1-'Inputs'!$B$3)),0)</f>
        <v>1</v>
      </c>
      <c r="P24" s="3">
        <f>F22+F19+F16</f>
        <v>1</v>
      </c>
      <c r="Q24" s="3">
        <f>H22+H19+H16+(F13+H13)*(1-'Inputs'!$B$58)</f>
        <v>0.75</v>
      </c>
      <c r="R24" s="3">
        <f>IF(A24&gt;'Inputs'!$B$4,INDEX($E$2:$E$37,MAX(1,A24-'Inputs'!$B$4)),0)</f>
        <v>1</v>
      </c>
      <c r="S24" s="3">
        <f>J24*'Inputs'!$B$54/12</f>
        <v>281250.0</v>
      </c>
      <c r="T24" s="3">
        <f>R24*'Inputs'!$B$55</f>
        <v>110000</v>
      </c>
      <c r="U24" s="3">
        <f>S24*IF(C24&gt;1,'Inputs'!$B$60,0)</f>
        <v>0.0</v>
      </c>
      <c r="V24" s="3">
        <f>SUM(S24:U24)</f>
        <v>391250.0</v>
      </c>
      <c r="W24" s="3">
        <f>J24*'Inputs'!$B$56/12</f>
        <v>168750.0</v>
      </c>
      <c r="X24" s="3">
        <f>J24*('Inputs'!$B$56*'Inputs'!$B$17+'Inputs'!$B$10*'Inputs'!$B$11+'Inputs'!$B$12*'Inputs'!$B$13+'Inputs'!$B$14*'Inputs'!$B$15+'Inputs'!$B$57+'Inputs'!$B$16)/12</f>
        <v>80437.5</v>
      </c>
      <c r="Y24" s="3">
        <f>MAX(Y23,ROUNDUP((J24+K24)/'Inputs'!$B$9,0))</f>
        <v>4</v>
      </c>
      <c r="Z24" s="3">
        <f>Y24*'Inputs'!$B$8/12</f>
        <v>60000.0</v>
      </c>
      <c r="AA24" s="3">
        <f>W24+X24+Z24</f>
        <v>309187.5</v>
      </c>
      <c r="AB24" s="3">
        <f>R24*('Inputs'!$B$19+'Inputs'!$B$20*'Inputs'!$B$21+'Inputs'!$B$22*'Inputs'!$B$11+'Inputs'!$B$23+'Inputs'!$B$24)</f>
        <v>94166.66666666667</v>
      </c>
      <c r="AC24" s="3">
        <f>U24*'Inputs'!$B$26</f>
        <v>0.0</v>
      </c>
      <c r="AD24" s="3">
        <f>AA24+AB24+AC24</f>
        <v>403354.1666666667</v>
      </c>
      <c r="AE24" s="3">
        <f>V24-AD24</f>
        <v>-12104.166666666686</v>
      </c>
      <c r="AF24" s="3">
        <f>'Inputs'!$B$28/12</f>
        <v>16500.0</v>
      </c>
      <c r="AG24" s="3">
        <f>'Inputs'!$B$62/12</f>
        <v>50000.0</v>
      </c>
      <c r="AH24" s="3">
        <f>'Inputs'!$B$31/12</f>
        <v>15000.0</v>
      </c>
      <c r="AI24" s="3">
        <f>'Inputs'!$B$34/12</f>
        <v>6666.666666666667</v>
      </c>
      <c r="AJ24" s="3">
        <f>'Inputs'!$B$37/12</f>
        <v>7500.0</v>
      </c>
      <c r="AK24" s="3">
        <f>MAX(1,ROUNDUP((SUM($D$14:$D$25)+0.5*SUM($E$14:$E$25))/'Inputs'!$B$40,0))</f>
        <v>1</v>
      </c>
      <c r="AL24" s="3">
        <f>AK24*'Inputs'!$B$39/12</f>
        <v>15000.0</v>
      </c>
      <c r="AM24" s="3">
        <f>D24*'Inputs'!$B$41+E24*'Inputs'!$B$42</f>
        <v>0</v>
      </c>
      <c r="AN24" s="3">
        <f>0</f>
        <v>0</v>
      </c>
      <c r="AO24" s="3">
        <f>AF24+AG24+AH24+AI24+AJ24+AL24+AM24+AN24</f>
        <v>110666.66666666667</v>
      </c>
      <c r="AP24" s="3">
        <f>AE24-AO24</f>
        <v>-122770.83333333336</v>
      </c>
      <c r="AQ24" s="3">
        <f>(D24+L24)*'Inputs'!$B$54/4</f>
        <v>250000.0</v>
      </c>
      <c r="AR24" s="3">
        <f>(E24*'Inputs'!$B$25+R24*(1-'Inputs'!$B$25))*'Inputs'!$B$55</f>
        <v>55000.0</v>
      </c>
      <c r="AS24" s="3">
        <f>AQ24+AR24+U24</f>
        <v>305000.0</v>
      </c>
      <c r="AT24" s="3">
        <f>IF(A24&gt;'Inputs'!$B$5,INDEX($AS$2:$AS$37,MAX(1,A24-'Inputs'!$B$5)),0)</f>
        <v>273750.0</v>
      </c>
      <c r="AU24" s="3">
        <f>'Inputs'!$B$56*(O24*'Inputs'!$B$53+P24*(1-'Inputs'!$B$53)/3+Q24/4)</f>
        <v>238250.0</v>
      </c>
      <c r="AV24" s="3">
        <f>(E24+E23)*('Inputs'!$B$19+'Inputs'!$B$20*'Inputs'!$B$21+'Inputs'!$B$22*'Inputs'!$B$11+'Inputs'!$B$23+'Inputs'!$B$24)/2</f>
        <v>0.0</v>
      </c>
      <c r="AW24" s="3">
        <f>AU24+X24+Z24+AV24+AC24+AO24</f>
        <v>489354.1666666667</v>
      </c>
      <c r="AX24" s="3">
        <f>AT24-AW24</f>
        <v>-215604.1666666667</v>
      </c>
      <c r="AY24" s="3">
        <f>AY23+AX24</f>
        <v>-3848937.4999999995</v>
      </c>
      <c r="AZ24" s="3">
        <f>AZ23+AS24-AT24</f>
        <v>680000.0</v>
      </c>
      <c r="BA24" s="3">
        <f>BA23+AQ24+AR24-S24-T24</f>
        <v>416666.66666666674</v>
      </c>
      <c r="BB24" s="3">
        <f>BB23+AU24-W24</f>
        <v>541250.0</v>
      </c>
      <c r="BC24" s="3">
        <f>BC23+AV24-AB24</f>
        <v>0.0</v>
      </c>
      <c r="BD24" s="3">
        <f>J24*'Inputs'!$B$54</f>
        <v>3375000.0</v>
      </c>
      <c r="BE24" s="3">
        <f>(J24+K24)/'Inputs'!$B$9</f>
        <v>3.875</v>
      </c>
      <c r="BF24" s="3">
        <f>J24*'Inputs'!$B$12</f>
        <v>1.35</v>
      </c>
      <c r="BG24" s="3">
        <f>J24*'Inputs'!$B$14</f>
        <v>1.35</v>
      </c>
      <c r="BH24" s="3">
        <f>J24*'Inputs'!$B$10/12+E24*'Inputs'!$B$22</f>
        <v>5.625</v>
      </c>
      <c r="BI24" s="3">
        <f>'Inputs'!$B$6*'Inputs'!$B$7*(F24*('Inputs'!$B$49+'Inputs'!$B$47)+L24*('Inputs'!$B$49+'Inputs'!$B$48))+E24*'Inputs'!$B$46*'Inputs'!$B$18</f>
        <v>3840.0</v>
      </c>
    </row>
    <row r="25" spans="1:61">
      <c r="A25">
        <v>24</v>
      </c>
      <c r="B25" t="s">
        <v>199</v>
      </c>
      <c r="C25">
        <v>2</v>
      </c>
      <c r="D25" s="2">
        <v>1</v>
      </c>
      <c r="E25" s="2">
        <v>1</v>
      </c>
      <c r="F25" s="3">
        <f>IF(A25&gt;'Inputs'!$B$3,INDEX($D$2:$D$37,MAX(1,A25-'Inputs'!$B$3)),0)</f>
        <v>1</v>
      </c>
      <c r="G25" s="3">
        <f>F13+H13</f>
        <v>0.0</v>
      </c>
      <c r="H25" s="3">
        <f>G25*(1-'Inputs'!$B$58)</f>
        <v>0.0</v>
      </c>
      <c r="I25" s="3">
        <f>G25-H25</f>
        <v>0.0</v>
      </c>
      <c r="J25" s="3">
        <f>J24+F25-I25</f>
        <v>7.75</v>
      </c>
      <c r="K25" s="3">
        <f>SUM($D$2:D25)-SUM($F$2:F25)</f>
        <v>1</v>
      </c>
      <c r="L25" s="3">
        <f>F22+H22+F19+H19+F16+H16+H25</f>
        <v>1.75</v>
      </c>
      <c r="M25" s="3">
        <f>F25+L25</f>
        <v>2.75</v>
      </c>
      <c r="N25" s="3">
        <f>IF(A25+1&gt;'Inputs'!$B$3,INDEX($D$2:$D$37,MAX(1,A25+1-'Inputs'!$B$3)),0)+F23+H23+F20+H20+F17+H17+(F14+H14)*(1-'Inputs'!$B$58)</f>
        <v>2.75</v>
      </c>
      <c r="O25" s="3">
        <f>IF(A25+1&gt;'Inputs'!$B$3,INDEX($D$2:$D$37,MAX(1,A25+1-'Inputs'!$B$3)),0)</f>
        <v>0</v>
      </c>
      <c r="P25" s="3">
        <f>F23+F20+F17</f>
        <v>2</v>
      </c>
      <c r="Q25" s="3">
        <f>H23+H20+H17+(F14+H14)*(1-'Inputs'!$B$58)</f>
        <v>0.75</v>
      </c>
      <c r="R25" s="3">
        <f>IF(A25&gt;'Inputs'!$B$4,INDEX($E$2:$E$37,MAX(1,A25-'Inputs'!$B$4)),0)</f>
        <v>0</v>
      </c>
      <c r="S25" s="3">
        <f>J25*'Inputs'!$B$54/12</f>
        <v>322916.6666666667</v>
      </c>
      <c r="T25" s="3">
        <f>R25*'Inputs'!$B$55</f>
        <v>0</v>
      </c>
      <c r="U25" s="3">
        <f>S25*IF(C25&gt;1,'Inputs'!$B$60,0)</f>
        <v>0.0</v>
      </c>
      <c r="V25" s="3">
        <f>SUM(S25:U25)</f>
        <v>322916.6666666667</v>
      </c>
      <c r="W25" s="3">
        <f>J25*'Inputs'!$B$56/12</f>
        <v>193750.0</v>
      </c>
      <c r="X25" s="3">
        <f>J25*('Inputs'!$B$56*'Inputs'!$B$17+'Inputs'!$B$10*'Inputs'!$B$11+'Inputs'!$B$12*'Inputs'!$B$13+'Inputs'!$B$14*'Inputs'!$B$15+'Inputs'!$B$57+'Inputs'!$B$16)/12</f>
        <v>92354.16666666667</v>
      </c>
      <c r="Y25" s="3">
        <f>MAX(Y24,ROUNDUP((J25+K25)/'Inputs'!$B$9,0))</f>
        <v>5</v>
      </c>
      <c r="Z25" s="3">
        <f>Y25*'Inputs'!$B$8/12</f>
        <v>75000.0</v>
      </c>
      <c r="AA25" s="3">
        <f>W25+X25+Z25</f>
        <v>361104.1666666667</v>
      </c>
      <c r="AB25" s="3">
        <f>R25*('Inputs'!$B$19+'Inputs'!$B$20*'Inputs'!$B$21+'Inputs'!$B$22*'Inputs'!$B$11+'Inputs'!$B$23+'Inputs'!$B$24)</f>
        <v>0.0</v>
      </c>
      <c r="AC25" s="3">
        <f>U25*'Inputs'!$B$26</f>
        <v>0.0</v>
      </c>
      <c r="AD25" s="3">
        <f>AA25+AB25+AC25</f>
        <v>361104.1666666667</v>
      </c>
      <c r="AE25" s="3">
        <f>V25-AD25</f>
        <v>-38187.5</v>
      </c>
      <c r="AF25" s="3">
        <f>'Inputs'!$B$28/12</f>
        <v>16500.0</v>
      </c>
      <c r="AG25" s="3">
        <f>'Inputs'!$B$62/12</f>
        <v>50000.0</v>
      </c>
      <c r="AH25" s="3">
        <f>'Inputs'!$B$31/12</f>
        <v>15000.0</v>
      </c>
      <c r="AI25" s="3">
        <f>'Inputs'!$B$34/12</f>
        <v>6666.666666666667</v>
      </c>
      <c r="AJ25" s="3">
        <f>'Inputs'!$B$37/12</f>
        <v>7500.0</v>
      </c>
      <c r="AK25" s="3">
        <f>MAX(1,ROUNDUP((SUM($D$14:$D$25)+0.5*SUM($E$14:$E$25))/'Inputs'!$B$40,0))</f>
        <v>1</v>
      </c>
      <c r="AL25" s="3">
        <f>AK25*'Inputs'!$B$39/12</f>
        <v>15000.0</v>
      </c>
      <c r="AM25" s="3">
        <f>D25*'Inputs'!$B$41+E25*'Inputs'!$B$42</f>
        <v>20000</v>
      </c>
      <c r="AN25" s="3">
        <f>0</f>
        <v>0</v>
      </c>
      <c r="AO25" s="3">
        <f>AF25+AG25+AH25+AI25+AJ25+AL25+AM25+AN25</f>
        <v>130666.66666666667</v>
      </c>
      <c r="AP25" s="3">
        <f>AE25-AO25</f>
        <v>-168854.1666666667</v>
      </c>
      <c r="AQ25" s="3">
        <f>(D25+L25)*'Inputs'!$B$54/4</f>
        <v>343750.0</v>
      </c>
      <c r="AR25" s="3">
        <f>(E25*'Inputs'!$B$25+R25*(1-'Inputs'!$B$25))*'Inputs'!$B$55</f>
        <v>55000.0</v>
      </c>
      <c r="AS25" s="3">
        <f>AQ25+AR25+U25</f>
        <v>398750.0</v>
      </c>
      <c r="AT25" s="3">
        <f>IF(A25&gt;'Inputs'!$B$5,INDEX($AS$2:$AS$37,MAX(1,A25-'Inputs'!$B$5)),0)</f>
        <v>375000.0</v>
      </c>
      <c r="AU25" s="3">
        <f>'Inputs'!$B$56*(O25*'Inputs'!$B$53+P25*(1-'Inputs'!$B$53)/3+Q25/4)</f>
        <v>174250.0</v>
      </c>
      <c r="AV25" s="3">
        <f>(E25+E24)*('Inputs'!$B$19+'Inputs'!$B$20*'Inputs'!$B$21+'Inputs'!$B$22*'Inputs'!$B$11+'Inputs'!$B$23+'Inputs'!$B$24)/2</f>
        <v>47083.333333333336</v>
      </c>
      <c r="AW25" s="3">
        <f>AU25+X25+Z25+AV25+AC25+AO25</f>
        <v>519354.1666666667</v>
      </c>
      <c r="AX25" s="3">
        <f>AT25-AW25</f>
        <v>-144354.1666666667</v>
      </c>
      <c r="AY25" s="3">
        <f>AY24+AX25</f>
        <v>-3993291.666666666</v>
      </c>
      <c r="AZ25" s="3">
        <f>AZ24+AS25-AT25</f>
        <v>703750.0</v>
      </c>
      <c r="BA25" s="3">
        <f>BA24+AQ25+AR25-S25-T25</f>
        <v>492500.00000000006</v>
      </c>
      <c r="BB25" s="3">
        <f>BB24+AU25-W25</f>
        <v>521750.0</v>
      </c>
      <c r="BC25" s="3">
        <f>BC24+AV25-AB25</f>
        <v>47083.333333333336</v>
      </c>
      <c r="BD25" s="3">
        <f>J25*'Inputs'!$B$54</f>
        <v>3875000.0</v>
      </c>
      <c r="BE25" s="3">
        <f>(J25+K25)/'Inputs'!$B$9</f>
        <v>4.375</v>
      </c>
      <c r="BF25" s="3">
        <f>J25*'Inputs'!$B$12</f>
        <v>1.55</v>
      </c>
      <c r="BG25" s="3">
        <f>J25*'Inputs'!$B$14</f>
        <v>1.55</v>
      </c>
      <c r="BH25" s="3">
        <f>J25*'Inputs'!$B$10/12+E25*'Inputs'!$B$22</f>
        <v>12.125</v>
      </c>
      <c r="BI25" s="3">
        <f>'Inputs'!$B$6*'Inputs'!$B$7*(F25*('Inputs'!$B$49+'Inputs'!$B$47)+L25*('Inputs'!$B$49+'Inputs'!$B$48))+E25*'Inputs'!$B$46*'Inputs'!$B$18</f>
        <v>7520.0</v>
      </c>
    </row>
    <row r="26" spans="1:61">
      <c r="A26">
        <v>25</v>
      </c>
      <c r="B26" t="s">
        <v>200</v>
      </c>
      <c r="C26">
        <v>3</v>
      </c>
      <c r="D26" s="2">
        <v>0</v>
      </c>
      <c r="E26" s="2">
        <v>0</v>
      </c>
      <c r="F26" s="3">
        <f>IF(A26&gt;'Inputs'!$B$3,INDEX($D$2:$D$37,MAX(1,A26-'Inputs'!$B$3)),0)</f>
        <v>0</v>
      </c>
      <c r="G26" s="3">
        <f>F14+H14</f>
        <v>1.0</v>
      </c>
      <c r="H26" s="3">
        <f>G26*(1-'Inputs'!$B$58)</f>
        <v>0.75</v>
      </c>
      <c r="I26" s="3">
        <f>G26-H26</f>
        <v>0.25</v>
      </c>
      <c r="J26" s="3">
        <f>J25+F26-I26</f>
        <v>7.5</v>
      </c>
      <c r="K26" s="3">
        <f>SUM($D$2:D26)-SUM($F$2:F26)</f>
        <v>1</v>
      </c>
      <c r="L26" s="3">
        <f>F23+H23+F20+H20+F17+H17+H26</f>
        <v>2.75</v>
      </c>
      <c r="M26" s="3">
        <f>F26+L26</f>
        <v>2.75</v>
      </c>
      <c r="N26" s="3">
        <f>IF(A26+1&gt;'Inputs'!$B$3,INDEX($D$2:$D$37,MAX(1,A26+1-'Inputs'!$B$3)),0)+F24+H24+F21+H21+F18+H18+(F15+H15)*(1-'Inputs'!$B$58)</f>
        <v>2.75</v>
      </c>
      <c r="O26" s="3">
        <f>IF(A26+1&gt;'Inputs'!$B$3,INDEX($D$2:$D$37,MAX(1,A26+1-'Inputs'!$B$3)),0)</f>
        <v>1</v>
      </c>
      <c r="P26" s="3">
        <f>F24+F21+F18</f>
        <v>1</v>
      </c>
      <c r="Q26" s="3">
        <f>H24+H21+H18+(F15+H15)*(1-'Inputs'!$B$58)</f>
        <v>0.75</v>
      </c>
      <c r="R26" s="3">
        <f>IF(A26&gt;'Inputs'!$B$4,INDEX($E$2:$E$37,MAX(1,A26-'Inputs'!$B$4)),0)</f>
        <v>0</v>
      </c>
      <c r="S26" s="3">
        <f>J26*'Inputs'!$B$54/12</f>
        <v>312500.0</v>
      </c>
      <c r="T26" s="3">
        <f>R26*'Inputs'!$B$55</f>
        <v>0</v>
      </c>
      <c r="U26" s="3">
        <f>S26*IF(C26&gt;1,'Inputs'!$B$60,0)</f>
        <v>0.0</v>
      </c>
      <c r="V26" s="3">
        <f>SUM(S26:U26)</f>
        <v>312500.0</v>
      </c>
      <c r="W26" s="3">
        <f>J26*'Inputs'!$B$56/12</f>
        <v>187500.0</v>
      </c>
      <c r="X26" s="3">
        <f>J26*('Inputs'!$B$56*'Inputs'!$B$17+'Inputs'!$B$10*'Inputs'!$B$11+'Inputs'!$B$12*'Inputs'!$B$13+'Inputs'!$B$14*'Inputs'!$B$15+'Inputs'!$B$57+'Inputs'!$B$16)/12</f>
        <v>89375.0</v>
      </c>
      <c r="Y26" s="3">
        <f>MAX(Y25,ROUNDUP((J26+K26)/'Inputs'!$B$9,0))</f>
        <v>5</v>
      </c>
      <c r="Z26" s="3">
        <f>Y26*'Inputs'!$B$8/12</f>
        <v>75000.0</v>
      </c>
      <c r="AA26" s="3">
        <f>W26+X26+Z26</f>
        <v>351875.0</v>
      </c>
      <c r="AB26" s="3">
        <f>R26*('Inputs'!$B$19+'Inputs'!$B$20*'Inputs'!$B$21+'Inputs'!$B$22*'Inputs'!$B$11+'Inputs'!$B$23+'Inputs'!$B$24)</f>
        <v>0.0</v>
      </c>
      <c r="AC26" s="3">
        <f>U26*'Inputs'!$B$26</f>
        <v>0.0</v>
      </c>
      <c r="AD26" s="3">
        <f>AA26+AB26+AC26</f>
        <v>351875.0</v>
      </c>
      <c r="AE26" s="3">
        <f>V26-AD26</f>
        <v>-39375.0</v>
      </c>
      <c r="AF26" s="3">
        <f>'Inputs'!$B$29/12</f>
        <v>18000.0</v>
      </c>
      <c r="AG26" s="3">
        <f>'Inputs'!$B$63/12</f>
        <v>55000.0</v>
      </c>
      <c r="AH26" s="3">
        <f>'Inputs'!$B$32/12</f>
        <v>20000.0</v>
      </c>
      <c r="AI26" s="3">
        <f>'Inputs'!$B$35/12</f>
        <v>8333.333333333334</v>
      </c>
      <c r="AJ26" s="3">
        <f>'Inputs'!$B$38/12</f>
        <v>10000.0</v>
      </c>
      <c r="AK26" s="3">
        <f>MAX(1,ROUNDUP((SUM($D$26:$D$37)+0.5*SUM($E$26:$E$37))/'Inputs'!$B$40,0))</f>
        <v>2</v>
      </c>
      <c r="AL26" s="3">
        <f>AK26*'Inputs'!$B$39/12</f>
        <v>30000.0</v>
      </c>
      <c r="AM26" s="3">
        <f>D26*'Inputs'!$B$41+E26*'Inputs'!$B$42</f>
        <v>0</v>
      </c>
      <c r="AN26" s="3">
        <f>0</f>
        <v>0</v>
      </c>
      <c r="AO26" s="3">
        <f>AF26+AG26+AH26+AI26+AJ26+AL26+AM26+AN26</f>
        <v>141333.3333333333</v>
      </c>
      <c r="AP26" s="3">
        <f>AE26-AO26</f>
        <v>-180708.3333333333</v>
      </c>
      <c r="AQ26" s="3">
        <f>(D26+L26)*'Inputs'!$B$54/4</f>
        <v>343750.0</v>
      </c>
      <c r="AR26" s="3">
        <f>(E26*'Inputs'!$B$25+R26*(1-'Inputs'!$B$25))*'Inputs'!$B$55</f>
        <v>0.0</v>
      </c>
      <c r="AS26" s="3">
        <f>AQ26+AR26+U26</f>
        <v>343750.0</v>
      </c>
      <c r="AT26" s="3">
        <f>IF(A26&gt;'Inputs'!$B$5,INDEX($AS$2:$AS$37,MAX(1,A26-'Inputs'!$B$5)),0)</f>
        <v>305000.0</v>
      </c>
      <c r="AU26" s="3">
        <f>'Inputs'!$B$56*(O26*'Inputs'!$B$53+P26*(1-'Inputs'!$B$53)/3+Q26/4)</f>
        <v>238250.0</v>
      </c>
      <c r="AV26" s="3">
        <f>(E26+E25)*('Inputs'!$B$19+'Inputs'!$B$20*'Inputs'!$B$21+'Inputs'!$B$22*'Inputs'!$B$11+'Inputs'!$B$23+'Inputs'!$B$24)/2</f>
        <v>47083.333333333336</v>
      </c>
      <c r="AW26" s="3">
        <f>AU26+X26+Z26+AV26+AC26+AO26</f>
        <v>591041.6666666666</v>
      </c>
      <c r="AX26" s="3">
        <f>AT26-AW26</f>
        <v>-286041.6666666666</v>
      </c>
      <c r="AY26" s="3">
        <f>AY25+AX26</f>
        <v>-4279333.333333333</v>
      </c>
      <c r="AZ26" s="3">
        <f>AZ25+AS26-AT26</f>
        <v>742500.0</v>
      </c>
      <c r="BA26" s="3">
        <f>BA25+AQ26+AR26-S26-T26</f>
        <v>523750.0</v>
      </c>
      <c r="BB26" s="3">
        <f>BB25+AU26-W26</f>
        <v>572500.0</v>
      </c>
      <c r="BC26" s="3">
        <f>BC25+AV26-AB26</f>
        <v>94166.66666666667</v>
      </c>
      <c r="BD26" s="3">
        <f>J26*'Inputs'!$B$54</f>
        <v>3750000.0</v>
      </c>
      <c r="BE26" s="3">
        <f>(J26+K26)/'Inputs'!$B$9</f>
        <v>4.25</v>
      </c>
      <c r="BF26" s="3">
        <f>J26*'Inputs'!$B$12</f>
        <v>1.5</v>
      </c>
      <c r="BG26" s="3">
        <f>J26*'Inputs'!$B$14</f>
        <v>1.5</v>
      </c>
      <c r="BH26" s="3">
        <f>J26*'Inputs'!$B$10/12+E26*'Inputs'!$B$22</f>
        <v>6.25</v>
      </c>
      <c r="BI26" s="3">
        <f>'Inputs'!$B$6*'Inputs'!$B$7*(F26*('Inputs'!$B$49+'Inputs'!$B$47)+L26*('Inputs'!$B$49+'Inputs'!$B$48))+E26*'Inputs'!$B$46*'Inputs'!$B$18</f>
        <v>5280.0</v>
      </c>
    </row>
    <row r="27" spans="1:61">
      <c r="A27">
        <v>26</v>
      </c>
      <c r="B27" t="s">
        <v>201</v>
      </c>
      <c r="C27">
        <v>3</v>
      </c>
      <c r="D27" s="2">
        <v>1</v>
      </c>
      <c r="E27" s="2">
        <v>1</v>
      </c>
      <c r="F27" s="3">
        <f>IF(A27&gt;'Inputs'!$B$3,INDEX($D$2:$D$37,MAX(1,A27-'Inputs'!$B$3)),0)</f>
        <v>1</v>
      </c>
      <c r="G27" s="3">
        <f>F15+H15</f>
        <v>1.0</v>
      </c>
      <c r="H27" s="3">
        <f>G27*(1-'Inputs'!$B$58)</f>
        <v>0.75</v>
      </c>
      <c r="I27" s="3">
        <f>G27-H27</f>
        <v>0.25</v>
      </c>
      <c r="J27" s="3">
        <f>J26+F27-I27</f>
        <v>8.25</v>
      </c>
      <c r="K27" s="3">
        <f>SUM($D$2:D27)-SUM($F$2:F27)</f>
        <v>1</v>
      </c>
      <c r="L27" s="3">
        <f>F24+H24+F21+H21+F18+H18+H27</f>
        <v>1.75</v>
      </c>
      <c r="M27" s="3">
        <f>F27+L27</f>
        <v>2.75</v>
      </c>
      <c r="N27" s="3">
        <f>IF(A27+1&gt;'Inputs'!$B$3,INDEX($D$2:$D$37,MAX(1,A27+1-'Inputs'!$B$3)),0)+F25+H25+F22+H22+F19+H19+(F16+H16)*(1-'Inputs'!$B$58)</f>
        <v>2.5625</v>
      </c>
      <c r="O27" s="3">
        <f>IF(A27+1&gt;'Inputs'!$B$3,INDEX($D$2:$D$37,MAX(1,A27+1-'Inputs'!$B$3)),0)</f>
        <v>0</v>
      </c>
      <c r="P27" s="3">
        <f>F25+F22+F19</f>
        <v>2</v>
      </c>
      <c r="Q27" s="3">
        <f>H25+H22+H19+(F16+H16)*(1-'Inputs'!$B$58)</f>
        <v>0.5625</v>
      </c>
      <c r="R27" s="3">
        <f>IF(A27&gt;'Inputs'!$B$4,INDEX($E$2:$E$37,MAX(1,A27-'Inputs'!$B$4)),0)</f>
        <v>1</v>
      </c>
      <c r="S27" s="3">
        <f>J27*'Inputs'!$B$54/12</f>
        <v>343750.0</v>
      </c>
      <c r="T27" s="3">
        <f>R27*'Inputs'!$B$55</f>
        <v>110000</v>
      </c>
      <c r="U27" s="3">
        <f>S27*IF(C27&gt;1,'Inputs'!$B$60,0)</f>
        <v>0.0</v>
      </c>
      <c r="V27" s="3">
        <f>SUM(S27:U27)</f>
        <v>453750.0</v>
      </c>
      <c r="W27" s="3">
        <f>J27*'Inputs'!$B$56/12</f>
        <v>206250.0</v>
      </c>
      <c r="X27" s="3">
        <f>J27*('Inputs'!$B$56*'Inputs'!$B$17+'Inputs'!$B$10*'Inputs'!$B$11+'Inputs'!$B$12*'Inputs'!$B$13+'Inputs'!$B$14*'Inputs'!$B$15+'Inputs'!$B$57+'Inputs'!$B$16)/12</f>
        <v>98312.5</v>
      </c>
      <c r="Y27" s="3">
        <f>MAX(Y26,ROUNDUP((J27+K27)/'Inputs'!$B$9,0))</f>
        <v>5</v>
      </c>
      <c r="Z27" s="3">
        <f>Y27*'Inputs'!$B$8/12</f>
        <v>75000.0</v>
      </c>
      <c r="AA27" s="3">
        <f>W27+X27+Z27</f>
        <v>379562.5</v>
      </c>
      <c r="AB27" s="3">
        <f>R27*('Inputs'!$B$19+'Inputs'!$B$20*'Inputs'!$B$21+'Inputs'!$B$22*'Inputs'!$B$11+'Inputs'!$B$23+'Inputs'!$B$24)</f>
        <v>94166.66666666667</v>
      </c>
      <c r="AC27" s="3">
        <f>U27*'Inputs'!$B$26</f>
        <v>0.0</v>
      </c>
      <c r="AD27" s="3">
        <f>AA27+AB27+AC27</f>
        <v>473729.1666666667</v>
      </c>
      <c r="AE27" s="3">
        <f>V27-AD27</f>
        <v>-19979.166666666686</v>
      </c>
      <c r="AF27" s="3">
        <f>'Inputs'!$B$29/12</f>
        <v>18000.0</v>
      </c>
      <c r="AG27" s="3">
        <f>'Inputs'!$B$63/12</f>
        <v>55000.0</v>
      </c>
      <c r="AH27" s="3">
        <f>'Inputs'!$B$32/12</f>
        <v>20000.0</v>
      </c>
      <c r="AI27" s="3">
        <f>'Inputs'!$B$35/12</f>
        <v>8333.333333333334</v>
      </c>
      <c r="AJ27" s="3">
        <f>'Inputs'!$B$38/12</f>
        <v>10000.0</v>
      </c>
      <c r="AK27" s="3">
        <f>MAX(1,ROUNDUP((SUM($D$26:$D$37)+0.5*SUM($E$26:$E$37))/'Inputs'!$B$40,0))</f>
        <v>2</v>
      </c>
      <c r="AL27" s="3">
        <f>AK27*'Inputs'!$B$39/12</f>
        <v>30000.0</v>
      </c>
      <c r="AM27" s="3">
        <f>D27*'Inputs'!$B$41+E27*'Inputs'!$B$42</f>
        <v>20000</v>
      </c>
      <c r="AN27" s="3">
        <f>0</f>
        <v>0</v>
      </c>
      <c r="AO27" s="3">
        <f>AF27+AG27+AH27+AI27+AJ27+AL27+AM27+AN27</f>
        <v>161333.3333333333</v>
      </c>
      <c r="AP27" s="3">
        <f>AE27-AO27</f>
        <v>-181312.5</v>
      </c>
      <c r="AQ27" s="3">
        <f>(D27+L27)*'Inputs'!$B$54/4</f>
        <v>343750.0</v>
      </c>
      <c r="AR27" s="3">
        <f>(E27*'Inputs'!$B$25+R27*(1-'Inputs'!$B$25))*'Inputs'!$B$55</f>
        <v>110000.0</v>
      </c>
      <c r="AS27" s="3">
        <f>AQ27+AR27+U27</f>
        <v>453750.0</v>
      </c>
      <c r="AT27" s="3">
        <f>IF(A27&gt;'Inputs'!$B$5,INDEX($AS$2:$AS$37,MAX(1,A27-'Inputs'!$B$5)),0)</f>
        <v>398750.0</v>
      </c>
      <c r="AU27" s="3">
        <f>'Inputs'!$B$56*(O27*'Inputs'!$B$53+P27*(1-'Inputs'!$B$53)/3+Q27/4)</f>
        <v>160187.5</v>
      </c>
      <c r="AV27" s="3">
        <f>(E27+E26)*('Inputs'!$B$19+'Inputs'!$B$20*'Inputs'!$B$21+'Inputs'!$B$22*'Inputs'!$B$11+'Inputs'!$B$23+'Inputs'!$B$24)/2</f>
        <v>47083.333333333336</v>
      </c>
      <c r="AW27" s="3">
        <f>AU27+X27+Z27+AV27+AC27+AO27</f>
        <v>541916.6666666666</v>
      </c>
      <c r="AX27" s="3">
        <f>AT27-AW27</f>
        <v>-143166.66666666663</v>
      </c>
      <c r="AY27" s="3">
        <f>AY26+AX27</f>
        <v>-4422500.0</v>
      </c>
      <c r="AZ27" s="3">
        <f>AZ26+AS27-AT27</f>
        <v>797500.0</v>
      </c>
      <c r="BA27" s="3">
        <f>BA26+AQ27+AR27-S27-T27</f>
        <v>523750.0</v>
      </c>
      <c r="BB27" s="3">
        <f>BB26+AU27-W27</f>
        <v>526437.5</v>
      </c>
      <c r="BC27" s="3">
        <f>BC26+AV27-AB27</f>
        <v>47083.33333333333</v>
      </c>
      <c r="BD27" s="3">
        <f>J27*'Inputs'!$B$54</f>
        <v>4125000.0</v>
      </c>
      <c r="BE27" s="3">
        <f>(J27+K27)/'Inputs'!$B$9</f>
        <v>4.625</v>
      </c>
      <c r="BF27" s="3">
        <f>J27*'Inputs'!$B$12</f>
        <v>1.6500000000000001</v>
      </c>
      <c r="BG27" s="3">
        <f>J27*'Inputs'!$B$14</f>
        <v>1.6500000000000001</v>
      </c>
      <c r="BH27" s="3">
        <f>J27*'Inputs'!$B$10/12+E27*'Inputs'!$B$22</f>
        <v>12.541666666666666</v>
      </c>
      <c r="BI27" s="3">
        <f>'Inputs'!$B$6*'Inputs'!$B$7*(F27*('Inputs'!$B$49+'Inputs'!$B$47)+L27*('Inputs'!$B$49+'Inputs'!$B$48))+E27*'Inputs'!$B$46*'Inputs'!$B$18</f>
        <v>7520.0</v>
      </c>
    </row>
    <row r="28" spans="1:61">
      <c r="A28">
        <v>27</v>
      </c>
      <c r="B28" t="s">
        <v>202</v>
      </c>
      <c r="C28">
        <v>3</v>
      </c>
      <c r="D28" s="2">
        <v>1</v>
      </c>
      <c r="E28" s="2">
        <v>0</v>
      </c>
      <c r="F28" s="3">
        <f>IF(A28&gt;'Inputs'!$B$3,INDEX($D$2:$D$37,MAX(1,A28-'Inputs'!$B$3)),0)</f>
        <v>0</v>
      </c>
      <c r="G28" s="3">
        <f>F16+H16</f>
        <v>0.75</v>
      </c>
      <c r="H28" s="3">
        <f>G28*(1-'Inputs'!$B$58)</f>
        <v>0.5625</v>
      </c>
      <c r="I28" s="3">
        <f>G28-H28</f>
        <v>0.1875</v>
      </c>
      <c r="J28" s="3">
        <f>J27+F28-I28</f>
        <v>8.0625</v>
      </c>
      <c r="K28" s="3">
        <f>SUM($D$2:D28)-SUM($F$2:F28)</f>
        <v>2</v>
      </c>
      <c r="L28" s="3">
        <f>F25+H25+F22+H22+F19+H19+H28</f>
        <v>2.5625</v>
      </c>
      <c r="M28" s="3">
        <f>F28+L28</f>
        <v>2.5625</v>
      </c>
      <c r="N28" s="3">
        <f>IF(A28+1&gt;'Inputs'!$B$3,INDEX($D$2:$D$37,MAX(1,A28+1-'Inputs'!$B$3)),0)+F26+H26+F23+H23+F20+H20+(F17+H17)*(1-'Inputs'!$B$58)</f>
        <v>3.5</v>
      </c>
      <c r="O28" s="3">
        <f>IF(A28+1&gt;'Inputs'!$B$3,INDEX($D$2:$D$37,MAX(1,A28+1-'Inputs'!$B$3)),0)</f>
        <v>1</v>
      </c>
      <c r="P28" s="3">
        <f>F26+F23+F20</f>
        <v>1</v>
      </c>
      <c r="Q28" s="3">
        <f>H26+H23+H20+(F17+H17)*(1-'Inputs'!$B$58)</f>
        <v>1.5</v>
      </c>
      <c r="R28" s="3">
        <f>IF(A28&gt;'Inputs'!$B$4,INDEX($E$2:$E$37,MAX(1,A28-'Inputs'!$B$4)),0)</f>
        <v>0</v>
      </c>
      <c r="S28" s="3">
        <f>J28*'Inputs'!$B$54/12</f>
        <v>335937.5</v>
      </c>
      <c r="T28" s="3">
        <f>R28*'Inputs'!$B$55</f>
        <v>0</v>
      </c>
      <c r="U28" s="3">
        <f>S28*IF(C28&gt;1,'Inputs'!$B$60,0)</f>
        <v>0.0</v>
      </c>
      <c r="V28" s="3">
        <f>SUM(S28:U28)</f>
        <v>335937.5</v>
      </c>
      <c r="W28" s="3">
        <f>J28*'Inputs'!$B$56/12</f>
        <v>201562.5</v>
      </c>
      <c r="X28" s="3">
        <f>J28*('Inputs'!$B$56*'Inputs'!$B$17+'Inputs'!$B$10*'Inputs'!$B$11+'Inputs'!$B$12*'Inputs'!$B$13+'Inputs'!$B$14*'Inputs'!$B$15+'Inputs'!$B$57+'Inputs'!$B$16)/12</f>
        <v>96078.125</v>
      </c>
      <c r="Y28" s="3">
        <f>MAX(Y27,ROUNDUP((J28+K28)/'Inputs'!$B$9,0))</f>
        <v>6</v>
      </c>
      <c r="Z28" s="3">
        <f>Y28*'Inputs'!$B$8/12</f>
        <v>90000.0</v>
      </c>
      <c r="AA28" s="3">
        <f>W28+X28+Z28</f>
        <v>387640.625</v>
      </c>
      <c r="AB28" s="3">
        <f>R28*('Inputs'!$B$19+'Inputs'!$B$20*'Inputs'!$B$21+'Inputs'!$B$22*'Inputs'!$B$11+'Inputs'!$B$23+'Inputs'!$B$24)</f>
        <v>0.0</v>
      </c>
      <c r="AC28" s="3">
        <f>U28*'Inputs'!$B$26</f>
        <v>0.0</v>
      </c>
      <c r="AD28" s="3">
        <f>AA28+AB28+AC28</f>
        <v>387640.625</v>
      </c>
      <c r="AE28" s="3">
        <f>V28-AD28</f>
        <v>-51703.125</v>
      </c>
      <c r="AF28" s="3">
        <f>'Inputs'!$B$29/12</f>
        <v>18000.0</v>
      </c>
      <c r="AG28" s="3">
        <f>'Inputs'!$B$63/12</f>
        <v>55000.0</v>
      </c>
      <c r="AH28" s="3">
        <f>'Inputs'!$B$32/12</f>
        <v>20000.0</v>
      </c>
      <c r="AI28" s="3">
        <f>'Inputs'!$B$35/12</f>
        <v>8333.333333333334</v>
      </c>
      <c r="AJ28" s="3">
        <f>'Inputs'!$B$38/12</f>
        <v>10000.0</v>
      </c>
      <c r="AK28" s="3">
        <f>MAX(1,ROUNDUP((SUM($D$26:$D$37)+0.5*SUM($E$26:$E$37))/'Inputs'!$B$40,0))</f>
        <v>2</v>
      </c>
      <c r="AL28" s="3">
        <f>AK28*'Inputs'!$B$39/12</f>
        <v>30000.0</v>
      </c>
      <c r="AM28" s="3">
        <f>D28*'Inputs'!$B$41+E28*'Inputs'!$B$42</f>
        <v>15000</v>
      </c>
      <c r="AN28" s="3">
        <f>0</f>
        <v>0</v>
      </c>
      <c r="AO28" s="3">
        <f>AF28+AG28+AH28+AI28+AJ28+AL28+AM28+AN28</f>
        <v>156333.3333333333</v>
      </c>
      <c r="AP28" s="3">
        <f>AE28-AO28</f>
        <v>-208036.4583333333</v>
      </c>
      <c r="AQ28" s="3">
        <f>(D28+L28)*'Inputs'!$B$54/4</f>
        <v>445312.5</v>
      </c>
      <c r="AR28" s="3">
        <f>(E28*'Inputs'!$B$25+R28*(1-'Inputs'!$B$25))*'Inputs'!$B$55</f>
        <v>0.0</v>
      </c>
      <c r="AS28" s="3">
        <f>AQ28+AR28+U28</f>
        <v>445312.5</v>
      </c>
      <c r="AT28" s="3">
        <f>IF(A28&gt;'Inputs'!$B$5,INDEX($AS$2:$AS$37,MAX(1,A28-'Inputs'!$B$5)),0)</f>
        <v>343750.0</v>
      </c>
      <c r="AU28" s="3">
        <f>'Inputs'!$B$56*(O28*'Inputs'!$B$53+P28*(1-'Inputs'!$B$53)/3+Q28/4)</f>
        <v>294500.0</v>
      </c>
      <c r="AV28" s="3">
        <f>(E28+E27)*('Inputs'!$B$19+'Inputs'!$B$20*'Inputs'!$B$21+'Inputs'!$B$22*'Inputs'!$B$11+'Inputs'!$B$23+'Inputs'!$B$24)/2</f>
        <v>47083.333333333336</v>
      </c>
      <c r="AW28" s="3">
        <f>AU28+X28+Z28+AV28+AC28+AO28</f>
        <v>683994.7916666667</v>
      </c>
      <c r="AX28" s="3">
        <f>AT28-AW28</f>
        <v>-340244.79166666674</v>
      </c>
      <c r="AY28" s="3">
        <f>AY27+AX28</f>
        <v>-4762744.791666667</v>
      </c>
      <c r="AZ28" s="3">
        <f>AZ27+AS28-AT28</f>
        <v>899062.5</v>
      </c>
      <c r="BA28" s="3">
        <f>BA27+AQ28+AR28-S28-T28</f>
        <v>633125.0</v>
      </c>
      <c r="BB28" s="3">
        <f>BB27+AU28-W28</f>
        <v>619375.0</v>
      </c>
      <c r="BC28" s="3">
        <f>BC27+AV28-AB28</f>
        <v>94166.66666666666</v>
      </c>
      <c r="BD28" s="3">
        <f>J28*'Inputs'!$B$54</f>
        <v>4031250.0</v>
      </c>
      <c r="BE28" s="3">
        <f>(J28+K28)/'Inputs'!$B$9</f>
        <v>5.03125</v>
      </c>
      <c r="BF28" s="3">
        <f>J28*'Inputs'!$B$12</f>
        <v>1.6125</v>
      </c>
      <c r="BG28" s="3">
        <f>J28*'Inputs'!$B$14</f>
        <v>1.6125</v>
      </c>
      <c r="BH28" s="3">
        <f>J28*'Inputs'!$B$10/12+E28*'Inputs'!$B$22</f>
        <v>6.71875</v>
      </c>
      <c r="BI28" s="3">
        <f>'Inputs'!$B$6*'Inputs'!$B$7*(F28*('Inputs'!$B$49+'Inputs'!$B$47)+L28*('Inputs'!$B$49+'Inputs'!$B$48))+E28*'Inputs'!$B$46*'Inputs'!$B$18</f>
        <v>4920.0</v>
      </c>
    </row>
    <row r="29" spans="1:61">
      <c r="A29">
        <v>28</v>
      </c>
      <c r="B29" t="s">
        <v>203</v>
      </c>
      <c r="C29">
        <v>3</v>
      </c>
      <c r="D29" s="2">
        <v>1</v>
      </c>
      <c r="E29" s="2">
        <v>1</v>
      </c>
      <c r="F29" s="3">
        <f>IF(A29&gt;'Inputs'!$B$3,INDEX($D$2:$D$37,MAX(1,A29-'Inputs'!$B$3)),0)</f>
        <v>1</v>
      </c>
      <c r="G29" s="3">
        <f>F17+H17</f>
        <v>1.0</v>
      </c>
      <c r="H29" s="3">
        <f>G29*(1-'Inputs'!$B$58)</f>
        <v>0.75</v>
      </c>
      <c r="I29" s="3">
        <f>G29-H29</f>
        <v>0.25</v>
      </c>
      <c r="J29" s="3">
        <f>J28+F29-I29</f>
        <v>8.8125</v>
      </c>
      <c r="K29" s="3">
        <f>SUM($D$2:D29)-SUM($F$2:F29)</f>
        <v>2</v>
      </c>
      <c r="L29" s="3">
        <f>F26+H26+F23+H23+F20+H20+H29</f>
        <v>2.5</v>
      </c>
      <c r="M29" s="3">
        <f>F29+L29</f>
        <v>3.5</v>
      </c>
      <c r="N29" s="3">
        <f>IF(A29+1&gt;'Inputs'!$B$3,INDEX($D$2:$D$37,MAX(1,A29+1-'Inputs'!$B$3)),0)+F27+H27+F24+H24+F21+H21+(F18+H18)*(1-'Inputs'!$B$58)</f>
        <v>3.75</v>
      </c>
      <c r="O29" s="3">
        <f>IF(A29+1&gt;'Inputs'!$B$3,INDEX($D$2:$D$37,MAX(1,A29+1-'Inputs'!$B$3)),0)</f>
        <v>1</v>
      </c>
      <c r="P29" s="3">
        <f>F27+F24+F21</f>
        <v>2</v>
      </c>
      <c r="Q29" s="3">
        <f>H27+H24+H21+(F18+H18)*(1-'Inputs'!$B$58)</f>
        <v>0.75</v>
      </c>
      <c r="R29" s="3">
        <f>IF(A29&gt;'Inputs'!$B$4,INDEX($E$2:$E$37,MAX(1,A29-'Inputs'!$B$4)),0)</f>
        <v>1</v>
      </c>
      <c r="S29" s="3">
        <f>J29*'Inputs'!$B$54/12</f>
        <v>367187.5</v>
      </c>
      <c r="T29" s="3">
        <f>R29*'Inputs'!$B$55</f>
        <v>110000</v>
      </c>
      <c r="U29" s="3">
        <f>S29*IF(C29&gt;1,'Inputs'!$B$60,0)</f>
        <v>0.0</v>
      </c>
      <c r="V29" s="3">
        <f>SUM(S29:U29)</f>
        <v>477187.5</v>
      </c>
      <c r="W29" s="3">
        <f>J29*'Inputs'!$B$56/12</f>
        <v>220312.5</v>
      </c>
      <c r="X29" s="3">
        <f>J29*('Inputs'!$B$56*'Inputs'!$B$17+'Inputs'!$B$10*'Inputs'!$B$11+'Inputs'!$B$12*'Inputs'!$B$13+'Inputs'!$B$14*'Inputs'!$B$15+'Inputs'!$B$57+'Inputs'!$B$16)/12</f>
        <v>105015.625</v>
      </c>
      <c r="Y29" s="3">
        <f>MAX(Y28,ROUNDUP((J29+K29)/'Inputs'!$B$9,0))</f>
        <v>6</v>
      </c>
      <c r="Z29" s="3">
        <f>Y29*'Inputs'!$B$8/12</f>
        <v>90000.0</v>
      </c>
      <c r="AA29" s="3">
        <f>W29+X29+Z29</f>
        <v>415328.125</v>
      </c>
      <c r="AB29" s="3">
        <f>R29*('Inputs'!$B$19+'Inputs'!$B$20*'Inputs'!$B$21+'Inputs'!$B$22*'Inputs'!$B$11+'Inputs'!$B$23+'Inputs'!$B$24)</f>
        <v>94166.66666666667</v>
      </c>
      <c r="AC29" s="3">
        <f>U29*'Inputs'!$B$26</f>
        <v>0.0</v>
      </c>
      <c r="AD29" s="3">
        <f>AA29+AB29+AC29</f>
        <v>509494.7916666667</v>
      </c>
      <c r="AE29" s="3">
        <f>V29-AD29</f>
        <v>-32307.291666666686</v>
      </c>
      <c r="AF29" s="3">
        <f>'Inputs'!$B$29/12</f>
        <v>18000.0</v>
      </c>
      <c r="AG29" s="3">
        <f>'Inputs'!$B$63/12</f>
        <v>55000.0</v>
      </c>
      <c r="AH29" s="3">
        <f>'Inputs'!$B$32/12</f>
        <v>20000.0</v>
      </c>
      <c r="AI29" s="3">
        <f>'Inputs'!$B$35/12</f>
        <v>8333.333333333334</v>
      </c>
      <c r="AJ29" s="3">
        <f>'Inputs'!$B$38/12</f>
        <v>10000.0</v>
      </c>
      <c r="AK29" s="3">
        <f>MAX(1,ROUNDUP((SUM($D$26:$D$37)+0.5*SUM($E$26:$E$37))/'Inputs'!$B$40,0))</f>
        <v>2</v>
      </c>
      <c r="AL29" s="3">
        <f>AK29*'Inputs'!$B$39/12</f>
        <v>30000.0</v>
      </c>
      <c r="AM29" s="3">
        <f>D29*'Inputs'!$B$41+E29*'Inputs'!$B$42</f>
        <v>20000</v>
      </c>
      <c r="AN29" s="3">
        <f>0</f>
        <v>0</v>
      </c>
      <c r="AO29" s="3">
        <f>AF29+AG29+AH29+AI29+AJ29+AL29+AM29+AN29</f>
        <v>161333.3333333333</v>
      </c>
      <c r="AP29" s="3">
        <f>AE29-AO29</f>
        <v>-193640.625</v>
      </c>
      <c r="AQ29" s="3">
        <f>(D29+L29)*'Inputs'!$B$54/4</f>
        <v>437500.0</v>
      </c>
      <c r="AR29" s="3">
        <f>(E29*'Inputs'!$B$25+R29*(1-'Inputs'!$B$25))*'Inputs'!$B$55</f>
        <v>110000.0</v>
      </c>
      <c r="AS29" s="3">
        <f>AQ29+AR29+U29</f>
        <v>547500.0</v>
      </c>
      <c r="AT29" s="3">
        <f>IF(A29&gt;'Inputs'!$B$5,INDEX($AS$2:$AS$37,MAX(1,A29-'Inputs'!$B$5)),0)</f>
        <v>453750.0</v>
      </c>
      <c r="AU29" s="3">
        <f>'Inputs'!$B$56*(O29*'Inputs'!$B$53+P29*(1-'Inputs'!$B$53)/3+Q29/4)</f>
        <v>297250.0</v>
      </c>
      <c r="AV29" s="3">
        <f>(E29+E28)*('Inputs'!$B$19+'Inputs'!$B$20*'Inputs'!$B$21+'Inputs'!$B$22*'Inputs'!$B$11+'Inputs'!$B$23+'Inputs'!$B$24)/2</f>
        <v>47083.333333333336</v>
      </c>
      <c r="AW29" s="3">
        <f>AU29+X29+Z29+AV29+AC29+AO29</f>
        <v>700682.2916666667</v>
      </c>
      <c r="AX29" s="3">
        <f>AT29-AW29</f>
        <v>-246932.29166666674</v>
      </c>
      <c r="AY29" s="3">
        <f>AY28+AX29</f>
        <v>-5009677.083333334</v>
      </c>
      <c r="AZ29" s="3">
        <f>AZ28+AS29-AT29</f>
        <v>992812.5</v>
      </c>
      <c r="BA29" s="3">
        <f>BA28+AQ29+AR29-S29-T29</f>
        <v>703437.5</v>
      </c>
      <c r="BB29" s="3">
        <f>BB28+AU29-W29</f>
        <v>696312.5</v>
      </c>
      <c r="BC29" s="3">
        <f>BC28+AV29-AB29</f>
        <v>47083.33333333333</v>
      </c>
      <c r="BD29" s="3">
        <f>J29*'Inputs'!$B$54</f>
        <v>4406250.0</v>
      </c>
      <c r="BE29" s="3">
        <f>(J29+K29)/'Inputs'!$B$9</f>
        <v>5.40625</v>
      </c>
      <c r="BF29" s="3">
        <f>J29*'Inputs'!$B$12</f>
        <v>1.7625000000000002</v>
      </c>
      <c r="BG29" s="3">
        <f>J29*'Inputs'!$B$14</f>
        <v>1.7625000000000002</v>
      </c>
      <c r="BH29" s="3">
        <f>J29*'Inputs'!$B$10/12+E29*'Inputs'!$B$22</f>
        <v>13.010416666666666</v>
      </c>
      <c r="BI29" s="3">
        <f>'Inputs'!$B$6*'Inputs'!$B$7*(F29*('Inputs'!$B$49+'Inputs'!$B$47)+L29*('Inputs'!$B$49+'Inputs'!$B$48))+E29*'Inputs'!$B$46*'Inputs'!$B$18</f>
        <v>8960.0</v>
      </c>
    </row>
    <row r="30" spans="1:61">
      <c r="A30">
        <v>29</v>
      </c>
      <c r="B30" t="s">
        <v>204</v>
      </c>
      <c r="C30">
        <v>3</v>
      </c>
      <c r="D30" s="2">
        <v>1</v>
      </c>
      <c r="E30" s="2">
        <v>0</v>
      </c>
      <c r="F30" s="3">
        <f>IF(A30&gt;'Inputs'!$B$3,INDEX($D$2:$D$37,MAX(1,A30-'Inputs'!$B$3)),0)</f>
        <v>1</v>
      </c>
      <c r="G30" s="3">
        <f>F18+H18</f>
        <v>0.0</v>
      </c>
      <c r="H30" s="3">
        <f>G30*(1-'Inputs'!$B$58)</f>
        <v>0.0</v>
      </c>
      <c r="I30" s="3">
        <f>G30-H30</f>
        <v>0.0</v>
      </c>
      <c r="J30" s="3">
        <f>J29+F30-I30</f>
        <v>9.8125</v>
      </c>
      <c r="K30" s="3">
        <f>SUM($D$2:D30)-SUM($F$2:F30)</f>
        <v>2</v>
      </c>
      <c r="L30" s="3">
        <f>F27+H27+F24+H24+F21+H21+H30</f>
        <v>2.75</v>
      </c>
      <c r="M30" s="3">
        <f>F30+L30</f>
        <v>3.75</v>
      </c>
      <c r="N30" s="3">
        <f>IF(A30+1&gt;'Inputs'!$B$3,INDEX($D$2:$D$37,MAX(1,A30+1-'Inputs'!$B$3)),0)+F28+H28+F25+H25+F22+H22+(F19+H19)*(1-'Inputs'!$B$58)</f>
        <v>3.3125</v>
      </c>
      <c r="O30" s="3">
        <f>IF(A30+1&gt;'Inputs'!$B$3,INDEX($D$2:$D$37,MAX(1,A30+1-'Inputs'!$B$3)),0)</f>
        <v>1</v>
      </c>
      <c r="P30" s="3">
        <f>F28+F25+F22</f>
        <v>1</v>
      </c>
      <c r="Q30" s="3">
        <f>H28+H25+H22+(F19+H19)*(1-'Inputs'!$B$58)</f>
        <v>1.3125</v>
      </c>
      <c r="R30" s="3">
        <f>IF(A30&gt;'Inputs'!$B$4,INDEX($E$2:$E$37,MAX(1,A30-'Inputs'!$B$4)),0)</f>
        <v>0</v>
      </c>
      <c r="S30" s="3">
        <f>J30*'Inputs'!$B$54/12</f>
        <v>408854.1666666667</v>
      </c>
      <c r="T30" s="3">
        <f>R30*'Inputs'!$B$55</f>
        <v>0</v>
      </c>
      <c r="U30" s="3">
        <f>S30*IF(C30&gt;1,'Inputs'!$B$60,0)</f>
        <v>0.0</v>
      </c>
      <c r="V30" s="3">
        <f>SUM(S30:U30)</f>
        <v>408854.1666666667</v>
      </c>
      <c r="W30" s="3">
        <f>J30*'Inputs'!$B$56/12</f>
        <v>245312.5</v>
      </c>
      <c r="X30" s="3">
        <f>J30*('Inputs'!$B$56*'Inputs'!$B$17+'Inputs'!$B$10*'Inputs'!$B$11+'Inputs'!$B$12*'Inputs'!$B$13+'Inputs'!$B$14*'Inputs'!$B$15+'Inputs'!$B$57+'Inputs'!$B$16)/12</f>
        <v>116932.29166666667</v>
      </c>
      <c r="Y30" s="3">
        <f>MAX(Y29,ROUNDUP((J30+K30)/'Inputs'!$B$9,0))</f>
        <v>6</v>
      </c>
      <c r="Z30" s="3">
        <f>Y30*'Inputs'!$B$8/12</f>
        <v>90000.0</v>
      </c>
      <c r="AA30" s="3">
        <f>W30+X30+Z30</f>
        <v>452244.7916666667</v>
      </c>
      <c r="AB30" s="3">
        <f>R30*('Inputs'!$B$19+'Inputs'!$B$20*'Inputs'!$B$21+'Inputs'!$B$22*'Inputs'!$B$11+'Inputs'!$B$23+'Inputs'!$B$24)</f>
        <v>0.0</v>
      </c>
      <c r="AC30" s="3">
        <f>U30*'Inputs'!$B$26</f>
        <v>0.0</v>
      </c>
      <c r="AD30" s="3">
        <f>AA30+AB30+AC30</f>
        <v>452244.7916666667</v>
      </c>
      <c r="AE30" s="3">
        <f>V30-AD30</f>
        <v>-43390.625</v>
      </c>
      <c r="AF30" s="3">
        <f>'Inputs'!$B$29/12</f>
        <v>18000.0</v>
      </c>
      <c r="AG30" s="3">
        <f>'Inputs'!$B$63/12</f>
        <v>55000.0</v>
      </c>
      <c r="AH30" s="3">
        <f>'Inputs'!$B$32/12</f>
        <v>20000.0</v>
      </c>
      <c r="AI30" s="3">
        <f>'Inputs'!$B$35/12</f>
        <v>8333.333333333334</v>
      </c>
      <c r="AJ30" s="3">
        <f>'Inputs'!$B$38/12</f>
        <v>10000.0</v>
      </c>
      <c r="AK30" s="3">
        <f>MAX(1,ROUNDUP((SUM($D$26:$D$37)+0.5*SUM($E$26:$E$37))/'Inputs'!$B$40,0))</f>
        <v>2</v>
      </c>
      <c r="AL30" s="3">
        <f>AK30*'Inputs'!$B$39/12</f>
        <v>30000.0</v>
      </c>
      <c r="AM30" s="3">
        <f>D30*'Inputs'!$B$41+E30*'Inputs'!$B$42</f>
        <v>15000</v>
      </c>
      <c r="AN30" s="3">
        <f>0</f>
        <v>0</v>
      </c>
      <c r="AO30" s="3">
        <f>AF30+AG30+AH30+AI30+AJ30+AL30+AM30+AN30</f>
        <v>156333.3333333333</v>
      </c>
      <c r="AP30" s="3">
        <f>AE30-AO30</f>
        <v>-199723.9583333333</v>
      </c>
      <c r="AQ30" s="3">
        <f>(D30+L30)*'Inputs'!$B$54/4</f>
        <v>468750.0</v>
      </c>
      <c r="AR30" s="3">
        <f>(E30*'Inputs'!$B$25+R30*(1-'Inputs'!$B$25))*'Inputs'!$B$55</f>
        <v>0.0</v>
      </c>
      <c r="AS30" s="3">
        <f>AQ30+AR30+U30</f>
        <v>468750.0</v>
      </c>
      <c r="AT30" s="3">
        <f>IF(A30&gt;'Inputs'!$B$5,INDEX($AS$2:$AS$37,MAX(1,A30-'Inputs'!$B$5)),0)</f>
        <v>445312.5</v>
      </c>
      <c r="AU30" s="3">
        <f>'Inputs'!$B$56*(O30*'Inputs'!$B$53+P30*(1-'Inputs'!$B$53)/3+Q30/4)</f>
        <v>280437.5</v>
      </c>
      <c r="AV30" s="3">
        <f>(E30+E29)*('Inputs'!$B$19+'Inputs'!$B$20*'Inputs'!$B$21+'Inputs'!$B$22*'Inputs'!$B$11+'Inputs'!$B$23+'Inputs'!$B$24)/2</f>
        <v>47083.333333333336</v>
      </c>
      <c r="AW30" s="3">
        <f>AU30+X30+Z30+AV30+AC30+AO30</f>
        <v>690786.4583333333</v>
      </c>
      <c r="AX30" s="3">
        <f>AT30-AW30</f>
        <v>-245473.95833333326</v>
      </c>
      <c r="AY30" s="3">
        <f>AY29+AX30</f>
        <v>-5255151.041666667</v>
      </c>
      <c r="AZ30" s="3">
        <f>AZ29+AS30-AT30</f>
        <v>1016250.0</v>
      </c>
      <c r="BA30" s="3">
        <f>BA29+AQ30+AR30-S30-T30</f>
        <v>763333.3333333333</v>
      </c>
      <c r="BB30" s="3">
        <f>BB29+AU30-W30</f>
        <v>731437.5</v>
      </c>
      <c r="BC30" s="3">
        <f>BC29+AV30-AB30</f>
        <v>94166.66666666666</v>
      </c>
      <c r="BD30" s="3">
        <f>J30*'Inputs'!$B$54</f>
        <v>4906250.0</v>
      </c>
      <c r="BE30" s="3">
        <f>(J30+K30)/'Inputs'!$B$9</f>
        <v>5.90625</v>
      </c>
      <c r="BF30" s="3">
        <f>J30*'Inputs'!$B$12</f>
        <v>1.9625000000000001</v>
      </c>
      <c r="BG30" s="3">
        <f>J30*'Inputs'!$B$14</f>
        <v>1.9625000000000001</v>
      </c>
      <c r="BH30" s="3">
        <f>J30*'Inputs'!$B$10/12+E30*'Inputs'!$B$22</f>
        <v>8.177083333333334</v>
      </c>
      <c r="BI30" s="3">
        <f>'Inputs'!$B$6*'Inputs'!$B$7*(F30*('Inputs'!$B$49+'Inputs'!$B$47)+L30*('Inputs'!$B$49+'Inputs'!$B$48))+E30*'Inputs'!$B$46*'Inputs'!$B$18</f>
        <v>7680.0</v>
      </c>
    </row>
    <row r="31" spans="1:61">
      <c r="A31">
        <v>30</v>
      </c>
      <c r="B31" t="s">
        <v>205</v>
      </c>
      <c r="C31">
        <v>3</v>
      </c>
      <c r="D31" s="2">
        <v>1</v>
      </c>
      <c r="E31" s="2">
        <v>1</v>
      </c>
      <c r="F31" s="3">
        <f>IF(A31&gt;'Inputs'!$B$3,INDEX($D$2:$D$37,MAX(1,A31-'Inputs'!$B$3)),0)</f>
        <v>1</v>
      </c>
      <c r="G31" s="3">
        <f>F19+H19</f>
        <v>1.0</v>
      </c>
      <c r="H31" s="3">
        <f>G31*(1-'Inputs'!$B$58)</f>
        <v>0.75</v>
      </c>
      <c r="I31" s="3">
        <f>G31-H31</f>
        <v>0.25</v>
      </c>
      <c r="J31" s="3">
        <f>J30+F31-I31</f>
        <v>10.5625</v>
      </c>
      <c r="K31" s="3">
        <f>SUM($D$2:D31)-SUM($F$2:F31)</f>
        <v>2</v>
      </c>
      <c r="L31" s="3">
        <f>F28+H28+F25+H25+F22+H22+H31</f>
        <v>2.3125</v>
      </c>
      <c r="M31" s="3">
        <f>F31+L31</f>
        <v>3.3125</v>
      </c>
      <c r="N31" s="3">
        <f>IF(A31+1&gt;'Inputs'!$B$3,INDEX($D$2:$D$37,MAX(1,A31+1-'Inputs'!$B$3)),0)+F29+H29+F26+H26+F23+H23+(F20+H20)*(1-'Inputs'!$B$58)</f>
        <v>4.5</v>
      </c>
      <c r="O31" s="3">
        <f>IF(A31+1&gt;'Inputs'!$B$3,INDEX($D$2:$D$37,MAX(1,A31+1-'Inputs'!$B$3)),0)</f>
        <v>1</v>
      </c>
      <c r="P31" s="3">
        <f>F29+F26+F23</f>
        <v>2</v>
      </c>
      <c r="Q31" s="3">
        <f>H29+H26+H23+(F20+H20)*(1-'Inputs'!$B$58)</f>
        <v>1.5</v>
      </c>
      <c r="R31" s="3">
        <f>IF(A31&gt;'Inputs'!$B$4,INDEX($E$2:$E$37,MAX(1,A31-'Inputs'!$B$4)),0)</f>
        <v>1</v>
      </c>
      <c r="S31" s="3">
        <f>J31*'Inputs'!$B$54/12</f>
        <v>440104.1666666667</v>
      </c>
      <c r="T31" s="3">
        <f>R31*'Inputs'!$B$55</f>
        <v>110000</v>
      </c>
      <c r="U31" s="3">
        <f>S31*IF(C31&gt;1,'Inputs'!$B$60,0)</f>
        <v>0.0</v>
      </c>
      <c r="V31" s="3">
        <f>SUM(S31:U31)</f>
        <v>550104.1666666667</v>
      </c>
      <c r="W31" s="3">
        <f>J31*'Inputs'!$B$56/12</f>
        <v>264062.5</v>
      </c>
      <c r="X31" s="3">
        <f>J31*('Inputs'!$B$56*'Inputs'!$B$17+'Inputs'!$B$10*'Inputs'!$B$11+'Inputs'!$B$12*'Inputs'!$B$13+'Inputs'!$B$14*'Inputs'!$B$15+'Inputs'!$B$57+'Inputs'!$B$16)/12</f>
        <v>125869.79166666667</v>
      </c>
      <c r="Y31" s="3">
        <f>MAX(Y30,ROUNDUP((J31+K31)/'Inputs'!$B$9,0))</f>
        <v>7</v>
      </c>
      <c r="Z31" s="3">
        <f>Y31*'Inputs'!$B$8/12</f>
        <v>105000.0</v>
      </c>
      <c r="AA31" s="3">
        <f>W31+X31+Z31</f>
        <v>494932.2916666667</v>
      </c>
      <c r="AB31" s="3">
        <f>R31*('Inputs'!$B$19+'Inputs'!$B$20*'Inputs'!$B$21+'Inputs'!$B$22*'Inputs'!$B$11+'Inputs'!$B$23+'Inputs'!$B$24)</f>
        <v>94166.66666666667</v>
      </c>
      <c r="AC31" s="3">
        <f>U31*'Inputs'!$B$26</f>
        <v>0.0</v>
      </c>
      <c r="AD31" s="3">
        <f>AA31+AB31+AC31</f>
        <v>589098.9583333334</v>
      </c>
      <c r="AE31" s="3">
        <f>V31-AD31</f>
        <v>-38994.79166666663</v>
      </c>
      <c r="AF31" s="3">
        <f>'Inputs'!$B$29/12</f>
        <v>18000.0</v>
      </c>
      <c r="AG31" s="3">
        <f>'Inputs'!$B$63/12</f>
        <v>55000.0</v>
      </c>
      <c r="AH31" s="3">
        <f>'Inputs'!$B$32/12</f>
        <v>20000.0</v>
      </c>
      <c r="AI31" s="3">
        <f>'Inputs'!$B$35/12</f>
        <v>8333.333333333334</v>
      </c>
      <c r="AJ31" s="3">
        <f>'Inputs'!$B$38/12</f>
        <v>10000.0</v>
      </c>
      <c r="AK31" s="3">
        <f>MAX(1,ROUNDUP((SUM($D$26:$D$37)+0.5*SUM($E$26:$E$37))/'Inputs'!$B$40,0))</f>
        <v>2</v>
      </c>
      <c r="AL31" s="3">
        <f>AK31*'Inputs'!$B$39/12</f>
        <v>30000.0</v>
      </c>
      <c r="AM31" s="3">
        <f>D31*'Inputs'!$B$41+E31*'Inputs'!$B$42</f>
        <v>20000</v>
      </c>
      <c r="AN31" s="3">
        <f>0</f>
        <v>0</v>
      </c>
      <c r="AO31" s="3">
        <f>AF31+AG31+AH31+AI31+AJ31+AL31+AM31+AN31</f>
        <v>161333.3333333333</v>
      </c>
      <c r="AP31" s="3">
        <f>AE31-AO31</f>
        <v>-200328.12499999994</v>
      </c>
      <c r="AQ31" s="3">
        <f>(D31+L31)*'Inputs'!$B$54/4</f>
        <v>414062.5</v>
      </c>
      <c r="AR31" s="3">
        <f>(E31*'Inputs'!$B$25+R31*(1-'Inputs'!$B$25))*'Inputs'!$B$55</f>
        <v>110000.0</v>
      </c>
      <c r="AS31" s="3">
        <f>AQ31+AR31+U31</f>
        <v>524062.5</v>
      </c>
      <c r="AT31" s="3">
        <f>IF(A31&gt;'Inputs'!$B$5,INDEX($AS$2:$AS$37,MAX(1,A31-'Inputs'!$B$5)),0)</f>
        <v>547500.0</v>
      </c>
      <c r="AU31" s="3">
        <f>'Inputs'!$B$56*(O31*'Inputs'!$B$53+P31*(1-'Inputs'!$B$53)/3+Q31/4)</f>
        <v>353499.99999999994</v>
      </c>
      <c r="AV31" s="3">
        <f>(E31+E30)*('Inputs'!$B$19+'Inputs'!$B$20*'Inputs'!$B$21+'Inputs'!$B$22*'Inputs'!$B$11+'Inputs'!$B$23+'Inputs'!$B$24)/2</f>
        <v>47083.333333333336</v>
      </c>
      <c r="AW31" s="3">
        <f>AU31+X31+Z31+AV31+AC31+AO31</f>
        <v>792786.4583333333</v>
      </c>
      <c r="AX31" s="3">
        <f>AT31-AW31</f>
        <v>-245286.45833333326</v>
      </c>
      <c r="AY31" s="3">
        <f>AY30+AX31</f>
        <v>-5500437.5</v>
      </c>
      <c r="AZ31" s="3">
        <f>AZ30+AS31-AT31</f>
        <v>992812.5</v>
      </c>
      <c r="BA31" s="3">
        <f>BA30+AQ31+AR31-S31-T31</f>
        <v>737291.6666666665</v>
      </c>
      <c r="BB31" s="3">
        <f>BB30+AU31-W31</f>
        <v>820875.0</v>
      </c>
      <c r="BC31" s="3">
        <f>BC30+AV31-AB31</f>
        <v>47083.33333333333</v>
      </c>
      <c r="BD31" s="3">
        <f>J31*'Inputs'!$B$54</f>
        <v>5281250.0</v>
      </c>
      <c r="BE31" s="3">
        <f>(J31+K31)/'Inputs'!$B$9</f>
        <v>6.28125</v>
      </c>
      <c r="BF31" s="3">
        <f>J31*'Inputs'!$B$12</f>
        <v>2.1125000000000003</v>
      </c>
      <c r="BG31" s="3">
        <f>J31*'Inputs'!$B$14</f>
        <v>2.1125000000000003</v>
      </c>
      <c r="BH31" s="3">
        <f>J31*'Inputs'!$B$10/12+E31*'Inputs'!$B$22</f>
        <v>14.46875</v>
      </c>
      <c r="BI31" s="3">
        <f>'Inputs'!$B$6*'Inputs'!$B$7*(F31*('Inputs'!$B$49+'Inputs'!$B$47)+L31*('Inputs'!$B$49+'Inputs'!$B$48))+E31*'Inputs'!$B$46*'Inputs'!$B$18</f>
        <v>8600.0</v>
      </c>
    </row>
    <row r="32" spans="1:61">
      <c r="A32">
        <v>31</v>
      </c>
      <c r="B32" t="s">
        <v>206</v>
      </c>
      <c r="C32">
        <v>3</v>
      </c>
      <c r="D32" s="2">
        <v>0</v>
      </c>
      <c r="E32" s="2">
        <v>0</v>
      </c>
      <c r="F32" s="3">
        <f>IF(A32&gt;'Inputs'!$B$3,INDEX($D$2:$D$37,MAX(1,A32-'Inputs'!$B$3)),0)</f>
        <v>1</v>
      </c>
      <c r="G32" s="3">
        <f>F20+H20</f>
        <v>0.0</v>
      </c>
      <c r="H32" s="3">
        <f>G32*(1-'Inputs'!$B$58)</f>
        <v>0.0</v>
      </c>
      <c r="I32" s="3">
        <f>G32-H32</f>
        <v>0.0</v>
      </c>
      <c r="J32" s="3">
        <f>J31+F32-I32</f>
        <v>11.5625</v>
      </c>
      <c r="K32" s="3">
        <f>SUM($D$2:D32)-SUM($F$2:F32)</f>
        <v>1</v>
      </c>
      <c r="L32" s="3">
        <f>F29+H29+F26+H26+F23+H23+H32</f>
        <v>3.5</v>
      </c>
      <c r="M32" s="3">
        <f>F32+L32</f>
        <v>4.5</v>
      </c>
      <c r="N32" s="3">
        <f>IF(A32+1&gt;'Inputs'!$B$3,INDEX($D$2:$D$37,MAX(1,A32+1-'Inputs'!$B$3)),0)+F30+H30+F27+H27+F24+H24+(F21+H21)*(1-'Inputs'!$B$58)</f>
        <v>4.5</v>
      </c>
      <c r="O32" s="3">
        <f>IF(A32+1&gt;'Inputs'!$B$3,INDEX($D$2:$D$37,MAX(1,A32+1-'Inputs'!$B$3)),0)</f>
        <v>1</v>
      </c>
      <c r="P32" s="3">
        <f>F30+F27+F24</f>
        <v>2</v>
      </c>
      <c r="Q32" s="3">
        <f>H30+H27+H24+(F21+H21)*(1-'Inputs'!$B$58)</f>
        <v>1.5</v>
      </c>
      <c r="R32" s="3">
        <f>IF(A32&gt;'Inputs'!$B$4,INDEX($E$2:$E$37,MAX(1,A32-'Inputs'!$B$4)),0)</f>
        <v>0</v>
      </c>
      <c r="S32" s="3">
        <f>J32*'Inputs'!$B$54/12</f>
        <v>481770.8333333333</v>
      </c>
      <c r="T32" s="3">
        <f>R32*'Inputs'!$B$55</f>
        <v>0</v>
      </c>
      <c r="U32" s="3">
        <f>S32*IF(C32&gt;1,'Inputs'!$B$60,0)</f>
        <v>0.0</v>
      </c>
      <c r="V32" s="3">
        <f>SUM(S32:U32)</f>
        <v>481770.8333333333</v>
      </c>
      <c r="W32" s="3">
        <f>J32*'Inputs'!$B$56/12</f>
        <v>289062.5</v>
      </c>
      <c r="X32" s="3">
        <f>J32*('Inputs'!$B$56*'Inputs'!$B$17+'Inputs'!$B$10*'Inputs'!$B$11+'Inputs'!$B$12*'Inputs'!$B$13+'Inputs'!$B$14*'Inputs'!$B$15+'Inputs'!$B$57+'Inputs'!$B$16)/12</f>
        <v>137786.45833333334</v>
      </c>
      <c r="Y32" s="3">
        <f>MAX(Y31,ROUNDUP((J32+K32)/'Inputs'!$B$9,0))</f>
        <v>7</v>
      </c>
      <c r="Z32" s="3">
        <f>Y32*'Inputs'!$B$8/12</f>
        <v>105000.0</v>
      </c>
      <c r="AA32" s="3">
        <f>W32+X32+Z32</f>
        <v>531848.9583333334</v>
      </c>
      <c r="AB32" s="3">
        <f>R32*('Inputs'!$B$19+'Inputs'!$B$20*'Inputs'!$B$21+'Inputs'!$B$22*'Inputs'!$B$11+'Inputs'!$B$23+'Inputs'!$B$24)</f>
        <v>0.0</v>
      </c>
      <c r="AC32" s="3">
        <f>U32*'Inputs'!$B$26</f>
        <v>0.0</v>
      </c>
      <c r="AD32" s="3">
        <f>AA32+AB32+AC32</f>
        <v>531848.9583333334</v>
      </c>
      <c r="AE32" s="3">
        <f>V32-AD32</f>
        <v>-50078.12500000006</v>
      </c>
      <c r="AF32" s="3">
        <f>'Inputs'!$B$29/12</f>
        <v>18000.0</v>
      </c>
      <c r="AG32" s="3">
        <f>'Inputs'!$B$63/12</f>
        <v>55000.0</v>
      </c>
      <c r="AH32" s="3">
        <f>'Inputs'!$B$32/12</f>
        <v>20000.0</v>
      </c>
      <c r="AI32" s="3">
        <f>'Inputs'!$B$35/12</f>
        <v>8333.333333333334</v>
      </c>
      <c r="AJ32" s="3">
        <f>'Inputs'!$B$38/12</f>
        <v>10000.0</v>
      </c>
      <c r="AK32" s="3">
        <f>MAX(1,ROUNDUP((SUM($D$26:$D$37)+0.5*SUM($E$26:$E$37))/'Inputs'!$B$40,0))</f>
        <v>2</v>
      </c>
      <c r="AL32" s="3">
        <f>AK32*'Inputs'!$B$39/12</f>
        <v>30000.0</v>
      </c>
      <c r="AM32" s="3">
        <f>D32*'Inputs'!$B$41+E32*'Inputs'!$B$42</f>
        <v>0</v>
      </c>
      <c r="AN32" s="3">
        <f>0</f>
        <v>0</v>
      </c>
      <c r="AO32" s="3">
        <f>AF32+AG32+AH32+AI32+AJ32+AL32+AM32+AN32</f>
        <v>141333.3333333333</v>
      </c>
      <c r="AP32" s="3">
        <f>AE32-AO32</f>
        <v>-191411.45833333337</v>
      </c>
      <c r="AQ32" s="3">
        <f>(D32+L32)*'Inputs'!$B$54/4</f>
        <v>437500.0</v>
      </c>
      <c r="AR32" s="3">
        <f>(E32*'Inputs'!$B$25+R32*(1-'Inputs'!$B$25))*'Inputs'!$B$55</f>
        <v>0.0</v>
      </c>
      <c r="AS32" s="3">
        <f>AQ32+AR32+U32</f>
        <v>437500.0</v>
      </c>
      <c r="AT32" s="3">
        <f>IF(A32&gt;'Inputs'!$B$5,INDEX($AS$2:$AS$37,MAX(1,A32-'Inputs'!$B$5)),0)</f>
        <v>468750.0</v>
      </c>
      <c r="AU32" s="3">
        <f>'Inputs'!$B$56*(O32*'Inputs'!$B$53+P32*(1-'Inputs'!$B$53)/3+Q32/4)</f>
        <v>353499.99999999994</v>
      </c>
      <c r="AV32" s="3">
        <f>(E32+E31)*('Inputs'!$B$19+'Inputs'!$B$20*'Inputs'!$B$21+'Inputs'!$B$22*'Inputs'!$B$11+'Inputs'!$B$23+'Inputs'!$B$24)/2</f>
        <v>47083.333333333336</v>
      </c>
      <c r="AW32" s="3">
        <f>AU32+X32+Z32+AV32+AC32+AO32</f>
        <v>784703.125</v>
      </c>
      <c r="AX32" s="3">
        <f>AT32-AW32</f>
        <v>-315953.125</v>
      </c>
      <c r="AY32" s="3">
        <f>AY31+AX32</f>
        <v>-5816390.625</v>
      </c>
      <c r="AZ32" s="3">
        <f>AZ31+AS32-AT32</f>
        <v>961562.5</v>
      </c>
      <c r="BA32" s="3">
        <f>BA31+AQ32+AR32-S32-T32</f>
        <v>693020.8333333333</v>
      </c>
      <c r="BB32" s="3">
        <f>BB31+AU32-W32</f>
        <v>885312.5</v>
      </c>
      <c r="BC32" s="3">
        <f>BC31+AV32-AB32</f>
        <v>94166.66666666666</v>
      </c>
      <c r="BD32" s="3">
        <f>J32*'Inputs'!$B$54</f>
        <v>5781250.0</v>
      </c>
      <c r="BE32" s="3">
        <f>(J32+K32)/'Inputs'!$B$9</f>
        <v>6.28125</v>
      </c>
      <c r="BF32" s="3">
        <f>J32*'Inputs'!$B$12</f>
        <v>2.3125</v>
      </c>
      <c r="BG32" s="3">
        <f>J32*'Inputs'!$B$14</f>
        <v>2.3125</v>
      </c>
      <c r="BH32" s="3">
        <f>J32*'Inputs'!$B$10/12+E32*'Inputs'!$B$22</f>
        <v>9.635416666666666</v>
      </c>
      <c r="BI32" s="3">
        <f>'Inputs'!$B$6*'Inputs'!$B$7*(F32*('Inputs'!$B$49+'Inputs'!$B$47)+L32*('Inputs'!$B$49+'Inputs'!$B$48))+E32*'Inputs'!$B$46*'Inputs'!$B$18</f>
        <v>9120.0</v>
      </c>
    </row>
    <row r="33" spans="1:61">
      <c r="A33">
        <v>32</v>
      </c>
      <c r="B33" t="s">
        <v>207</v>
      </c>
      <c r="C33">
        <v>3</v>
      </c>
      <c r="D33" s="2">
        <v>1</v>
      </c>
      <c r="E33" s="2">
        <v>1</v>
      </c>
      <c r="F33" s="3">
        <f>IF(A33&gt;'Inputs'!$B$3,INDEX($D$2:$D$37,MAX(1,A33-'Inputs'!$B$3)),0)</f>
        <v>1</v>
      </c>
      <c r="G33" s="3">
        <f>F21+H21</f>
        <v>1.0</v>
      </c>
      <c r="H33" s="3">
        <f>G33*(1-'Inputs'!$B$58)</f>
        <v>0.75</v>
      </c>
      <c r="I33" s="3">
        <f>G33-H33</f>
        <v>0.25</v>
      </c>
      <c r="J33" s="3">
        <f>J32+F33-I33</f>
        <v>12.3125</v>
      </c>
      <c r="K33" s="3">
        <f>SUM($D$2:D33)-SUM($F$2:F33)</f>
        <v>1</v>
      </c>
      <c r="L33" s="3">
        <f>F30+H30+F27+H27+F24+H24+H33</f>
        <v>3.5</v>
      </c>
      <c r="M33" s="3">
        <f>F33+L33</f>
        <v>4.5</v>
      </c>
      <c r="N33" s="3">
        <f>IF(A33+1&gt;'Inputs'!$B$3,INDEX($D$2:$D$37,MAX(1,A33+1-'Inputs'!$B$3)),0)+F31+H31+F28+H28+F25+H25+(F22+H22)*(1-'Inputs'!$B$58)</f>
        <v>3.3125</v>
      </c>
      <c r="O33" s="3">
        <f>IF(A33+1&gt;'Inputs'!$B$3,INDEX($D$2:$D$37,MAX(1,A33+1-'Inputs'!$B$3)),0)</f>
        <v>0</v>
      </c>
      <c r="P33" s="3">
        <f>F31+F28+F25</f>
        <v>2</v>
      </c>
      <c r="Q33" s="3">
        <f>H31+H28+H25+(F22+H22)*(1-'Inputs'!$B$58)</f>
        <v>1.3125</v>
      </c>
      <c r="R33" s="3">
        <f>IF(A33&gt;'Inputs'!$B$4,INDEX($E$2:$E$37,MAX(1,A33-'Inputs'!$B$4)),0)</f>
        <v>1</v>
      </c>
      <c r="S33" s="3">
        <f>J33*'Inputs'!$B$54/12</f>
        <v>513020.8333333333</v>
      </c>
      <c r="T33" s="3">
        <f>R33*'Inputs'!$B$55</f>
        <v>110000</v>
      </c>
      <c r="U33" s="3">
        <f>S33*IF(C33&gt;1,'Inputs'!$B$60,0)</f>
        <v>0.0</v>
      </c>
      <c r="V33" s="3">
        <f>SUM(S33:U33)</f>
        <v>623020.8333333333</v>
      </c>
      <c r="W33" s="3">
        <f>J33*'Inputs'!$B$56/12</f>
        <v>307812.5</v>
      </c>
      <c r="X33" s="3">
        <f>J33*('Inputs'!$B$56*'Inputs'!$B$17+'Inputs'!$B$10*'Inputs'!$B$11+'Inputs'!$B$12*'Inputs'!$B$13+'Inputs'!$B$14*'Inputs'!$B$15+'Inputs'!$B$57+'Inputs'!$B$16)/12</f>
        <v>146723.95833333334</v>
      </c>
      <c r="Y33" s="3">
        <f>MAX(Y32,ROUNDUP((J33+K33)/'Inputs'!$B$9,0))</f>
        <v>7</v>
      </c>
      <c r="Z33" s="3">
        <f>Y33*'Inputs'!$B$8/12</f>
        <v>105000.0</v>
      </c>
      <c r="AA33" s="3">
        <f>W33+X33+Z33</f>
        <v>559536.4583333334</v>
      </c>
      <c r="AB33" s="3">
        <f>R33*('Inputs'!$B$19+'Inputs'!$B$20*'Inputs'!$B$21+'Inputs'!$B$22*'Inputs'!$B$11+'Inputs'!$B$23+'Inputs'!$B$24)</f>
        <v>94166.66666666667</v>
      </c>
      <c r="AC33" s="3">
        <f>U33*'Inputs'!$B$26</f>
        <v>0.0</v>
      </c>
      <c r="AD33" s="3">
        <f>AA33+AB33+AC33</f>
        <v>653703.125</v>
      </c>
      <c r="AE33" s="3">
        <f>V33-AD33</f>
        <v>-30682.291666666744</v>
      </c>
      <c r="AF33" s="3">
        <f>'Inputs'!$B$29/12</f>
        <v>18000.0</v>
      </c>
      <c r="AG33" s="3">
        <f>'Inputs'!$B$63/12</f>
        <v>55000.0</v>
      </c>
      <c r="AH33" s="3">
        <f>'Inputs'!$B$32/12</f>
        <v>20000.0</v>
      </c>
      <c r="AI33" s="3">
        <f>'Inputs'!$B$35/12</f>
        <v>8333.333333333334</v>
      </c>
      <c r="AJ33" s="3">
        <f>'Inputs'!$B$38/12</f>
        <v>10000.0</v>
      </c>
      <c r="AK33" s="3">
        <f>MAX(1,ROUNDUP((SUM($D$26:$D$37)+0.5*SUM($E$26:$E$37))/'Inputs'!$B$40,0))</f>
        <v>2</v>
      </c>
      <c r="AL33" s="3">
        <f>AK33*'Inputs'!$B$39/12</f>
        <v>30000.0</v>
      </c>
      <c r="AM33" s="3">
        <f>D33*'Inputs'!$B$41+E33*'Inputs'!$B$42</f>
        <v>20000</v>
      </c>
      <c r="AN33" s="3">
        <f>0</f>
        <v>0</v>
      </c>
      <c r="AO33" s="3">
        <f>AF33+AG33+AH33+AI33+AJ33+AL33+AM33+AN33</f>
        <v>161333.3333333333</v>
      </c>
      <c r="AP33" s="3">
        <f>AE33-AO33</f>
        <v>-192015.62500000006</v>
      </c>
      <c r="AQ33" s="3">
        <f>(D33+L33)*'Inputs'!$B$54/4</f>
        <v>562500.0</v>
      </c>
      <c r="AR33" s="3">
        <f>(E33*'Inputs'!$B$25+R33*(1-'Inputs'!$B$25))*'Inputs'!$B$55</f>
        <v>110000.0</v>
      </c>
      <c r="AS33" s="3">
        <f>AQ33+AR33+U33</f>
        <v>672500.0</v>
      </c>
      <c r="AT33" s="3">
        <f>IF(A33&gt;'Inputs'!$B$5,INDEX($AS$2:$AS$37,MAX(1,A33-'Inputs'!$B$5)),0)</f>
        <v>524062.5</v>
      </c>
      <c r="AU33" s="3">
        <f>'Inputs'!$B$56*(O33*'Inputs'!$B$53+P33*(1-'Inputs'!$B$53)/3+Q33/4)</f>
        <v>216437.5</v>
      </c>
      <c r="AV33" s="3">
        <f>(E33+E32)*('Inputs'!$B$19+'Inputs'!$B$20*'Inputs'!$B$21+'Inputs'!$B$22*'Inputs'!$B$11+'Inputs'!$B$23+'Inputs'!$B$24)/2</f>
        <v>47083.333333333336</v>
      </c>
      <c r="AW33" s="3">
        <f>AU33+X33+Z33+AV33+AC33+AO33</f>
        <v>676578.125</v>
      </c>
      <c r="AX33" s="3">
        <f>AT33-AW33</f>
        <v>-152515.625</v>
      </c>
      <c r="AY33" s="3">
        <f>AY32+AX33</f>
        <v>-5968906.25</v>
      </c>
      <c r="AZ33" s="3">
        <f>AZ32+AS33-AT33</f>
        <v>1110000.0</v>
      </c>
      <c r="BA33" s="3">
        <f>BA32+AQ33+AR33-S33-T33</f>
        <v>742500.0</v>
      </c>
      <c r="BB33" s="3">
        <f>BB32+AU33-W33</f>
        <v>793937.5</v>
      </c>
      <c r="BC33" s="3">
        <f>BC32+AV33-AB33</f>
        <v>47083.33333333333</v>
      </c>
      <c r="BD33" s="3">
        <f>J33*'Inputs'!$B$54</f>
        <v>6156250.0</v>
      </c>
      <c r="BE33" s="3">
        <f>(J33+K33)/'Inputs'!$B$9</f>
        <v>6.65625</v>
      </c>
      <c r="BF33" s="3">
        <f>J33*'Inputs'!$B$12</f>
        <v>2.4625000000000004</v>
      </c>
      <c r="BG33" s="3">
        <f>J33*'Inputs'!$B$14</f>
        <v>2.4625000000000004</v>
      </c>
      <c r="BH33" s="3">
        <f>J33*'Inputs'!$B$10/12+E33*'Inputs'!$B$22</f>
        <v>15.927083333333332</v>
      </c>
      <c r="BI33" s="3">
        <f>'Inputs'!$B$6*'Inputs'!$B$7*(F33*('Inputs'!$B$49+'Inputs'!$B$47)+L33*('Inputs'!$B$49+'Inputs'!$B$48))+E33*'Inputs'!$B$46*'Inputs'!$B$18</f>
        <v>10880.0</v>
      </c>
    </row>
    <row r="34" spans="1:61">
      <c r="A34">
        <v>33</v>
      </c>
      <c r="B34" t="s">
        <v>208</v>
      </c>
      <c r="C34">
        <v>3</v>
      </c>
      <c r="D34" s="2">
        <v>1</v>
      </c>
      <c r="E34" s="2">
        <v>0</v>
      </c>
      <c r="F34" s="3">
        <f>IF(A34&gt;'Inputs'!$B$3,INDEX($D$2:$D$37,MAX(1,A34-'Inputs'!$B$3)),0)</f>
        <v>0</v>
      </c>
      <c r="G34" s="3">
        <f>F22+H22</f>
        <v>0.0</v>
      </c>
      <c r="H34" s="3">
        <f>G34*(1-'Inputs'!$B$58)</f>
        <v>0.0</v>
      </c>
      <c r="I34" s="3">
        <f>G34-H34</f>
        <v>0.0</v>
      </c>
      <c r="J34" s="3">
        <f>J33+F34-I34</f>
        <v>12.3125</v>
      </c>
      <c r="K34" s="3">
        <f>SUM($D$2:D34)-SUM($F$2:F34)</f>
        <v>2</v>
      </c>
      <c r="L34" s="3">
        <f>F31+H31+F28+H28+F25+H25+H34</f>
        <v>3.3125</v>
      </c>
      <c r="M34" s="3">
        <f>F34+L34</f>
        <v>3.3125</v>
      </c>
      <c r="N34" s="3">
        <f>IF(A34+1&gt;'Inputs'!$B$3,INDEX($D$2:$D$37,MAX(1,A34+1-'Inputs'!$B$3)),0)+F32+H32+F29+H29+F26+H26+(F23+H23)*(1-'Inputs'!$B$58)</f>
        <v>5.25</v>
      </c>
      <c r="O34" s="3">
        <f>IF(A34+1&gt;'Inputs'!$B$3,INDEX($D$2:$D$37,MAX(1,A34+1-'Inputs'!$B$3)),0)</f>
        <v>1</v>
      </c>
      <c r="P34" s="3">
        <f>F32+F29+F26</f>
        <v>2</v>
      </c>
      <c r="Q34" s="3">
        <f>H32+H29+H26+(F23+H23)*(1-'Inputs'!$B$58)</f>
        <v>2.25</v>
      </c>
      <c r="R34" s="3">
        <f>IF(A34&gt;'Inputs'!$B$4,INDEX($E$2:$E$37,MAX(1,A34-'Inputs'!$B$4)),0)</f>
        <v>0</v>
      </c>
      <c r="S34" s="3">
        <f>J34*'Inputs'!$B$54/12</f>
        <v>513020.8333333333</v>
      </c>
      <c r="T34" s="3">
        <f>R34*'Inputs'!$B$55</f>
        <v>0</v>
      </c>
      <c r="U34" s="3">
        <f>S34*IF(C34&gt;1,'Inputs'!$B$60,0)</f>
        <v>0.0</v>
      </c>
      <c r="V34" s="3">
        <f>SUM(S34:U34)</f>
        <v>513020.8333333333</v>
      </c>
      <c r="W34" s="3">
        <f>J34*'Inputs'!$B$56/12</f>
        <v>307812.5</v>
      </c>
      <c r="X34" s="3">
        <f>J34*('Inputs'!$B$56*'Inputs'!$B$17+'Inputs'!$B$10*'Inputs'!$B$11+'Inputs'!$B$12*'Inputs'!$B$13+'Inputs'!$B$14*'Inputs'!$B$15+'Inputs'!$B$57+'Inputs'!$B$16)/12</f>
        <v>146723.95833333334</v>
      </c>
      <c r="Y34" s="3">
        <f>MAX(Y33,ROUNDUP((J34+K34)/'Inputs'!$B$9,0))</f>
        <v>8</v>
      </c>
      <c r="Z34" s="3">
        <f>Y34*'Inputs'!$B$8/12</f>
        <v>120000.0</v>
      </c>
      <c r="AA34" s="3">
        <f>W34+X34+Z34</f>
        <v>574536.4583333334</v>
      </c>
      <c r="AB34" s="3">
        <f>R34*('Inputs'!$B$19+'Inputs'!$B$20*'Inputs'!$B$21+'Inputs'!$B$22*'Inputs'!$B$11+'Inputs'!$B$23+'Inputs'!$B$24)</f>
        <v>0.0</v>
      </c>
      <c r="AC34" s="3">
        <f>U34*'Inputs'!$B$26</f>
        <v>0.0</v>
      </c>
      <c r="AD34" s="3">
        <f>AA34+AB34+AC34</f>
        <v>574536.4583333334</v>
      </c>
      <c r="AE34" s="3">
        <f>V34-AD34</f>
        <v>-61515.62500000006</v>
      </c>
      <c r="AF34" s="3">
        <f>'Inputs'!$B$29/12</f>
        <v>18000.0</v>
      </c>
      <c r="AG34" s="3">
        <f>'Inputs'!$B$63/12</f>
        <v>55000.0</v>
      </c>
      <c r="AH34" s="3">
        <f>'Inputs'!$B$32/12</f>
        <v>20000.0</v>
      </c>
      <c r="AI34" s="3">
        <f>'Inputs'!$B$35/12</f>
        <v>8333.333333333334</v>
      </c>
      <c r="AJ34" s="3">
        <f>'Inputs'!$B$38/12</f>
        <v>10000.0</v>
      </c>
      <c r="AK34" s="3">
        <f>MAX(1,ROUNDUP((SUM($D$26:$D$37)+0.5*SUM($E$26:$E$37))/'Inputs'!$B$40,0))</f>
        <v>2</v>
      </c>
      <c r="AL34" s="3">
        <f>AK34*'Inputs'!$B$39/12</f>
        <v>30000.0</v>
      </c>
      <c r="AM34" s="3">
        <f>D34*'Inputs'!$B$41+E34*'Inputs'!$B$42</f>
        <v>15000</v>
      </c>
      <c r="AN34" s="3">
        <f>0</f>
        <v>0</v>
      </c>
      <c r="AO34" s="3">
        <f>AF34+AG34+AH34+AI34+AJ34+AL34+AM34+AN34</f>
        <v>156333.3333333333</v>
      </c>
      <c r="AP34" s="3">
        <f>AE34-AO34</f>
        <v>-217848.95833333337</v>
      </c>
      <c r="AQ34" s="3">
        <f>(D34+L34)*'Inputs'!$B$54/4</f>
        <v>539062.5</v>
      </c>
      <c r="AR34" s="3">
        <f>(E34*'Inputs'!$B$25+R34*(1-'Inputs'!$B$25))*'Inputs'!$B$55</f>
        <v>0.0</v>
      </c>
      <c r="AS34" s="3">
        <f>AQ34+AR34+U34</f>
        <v>539062.5</v>
      </c>
      <c r="AT34" s="3">
        <f>IF(A34&gt;'Inputs'!$B$5,INDEX($AS$2:$AS$37,MAX(1,A34-'Inputs'!$B$5)),0)</f>
        <v>437500.0</v>
      </c>
      <c r="AU34" s="3">
        <f>'Inputs'!$B$56*(O34*'Inputs'!$B$53+P34*(1-'Inputs'!$B$53)/3+Q34/4)</f>
        <v>409749.99999999994</v>
      </c>
      <c r="AV34" s="3">
        <f>(E34+E33)*('Inputs'!$B$19+'Inputs'!$B$20*'Inputs'!$B$21+'Inputs'!$B$22*'Inputs'!$B$11+'Inputs'!$B$23+'Inputs'!$B$24)/2</f>
        <v>47083.333333333336</v>
      </c>
      <c r="AW34" s="3">
        <f>AU34+X34+Z34+AV34+AC34+AO34</f>
        <v>879890.625</v>
      </c>
      <c r="AX34" s="3">
        <f>AT34-AW34</f>
        <v>-442390.625</v>
      </c>
      <c r="AY34" s="3">
        <f>AY33+AX34</f>
        <v>-6411296.875</v>
      </c>
      <c r="AZ34" s="3">
        <f>AZ33+AS34-AT34</f>
        <v>1211562.5</v>
      </c>
      <c r="BA34" s="3">
        <f>BA33+AQ34+AR34-S34-T34</f>
        <v>768541.6666666667</v>
      </c>
      <c r="BB34" s="3">
        <f>BB33+AU34-W34</f>
        <v>895875.0</v>
      </c>
      <c r="BC34" s="3">
        <f>BC33+AV34-AB34</f>
        <v>94166.66666666666</v>
      </c>
      <c r="BD34" s="3">
        <f>J34*'Inputs'!$B$54</f>
        <v>6156250.0</v>
      </c>
      <c r="BE34" s="3">
        <f>(J34+K34)/'Inputs'!$B$9</f>
        <v>7.15625</v>
      </c>
      <c r="BF34" s="3">
        <f>J34*'Inputs'!$B$12</f>
        <v>2.4625000000000004</v>
      </c>
      <c r="BG34" s="3">
        <f>J34*'Inputs'!$B$14</f>
        <v>2.4625000000000004</v>
      </c>
      <c r="BH34" s="3">
        <f>J34*'Inputs'!$B$10/12+E34*'Inputs'!$B$22</f>
        <v>10.260416666666666</v>
      </c>
      <c r="BI34" s="3">
        <f>'Inputs'!$B$6*'Inputs'!$B$7*(F34*('Inputs'!$B$49+'Inputs'!$B$47)+L34*('Inputs'!$B$49+'Inputs'!$B$48))+E34*'Inputs'!$B$46*'Inputs'!$B$18</f>
        <v>6360.0</v>
      </c>
    </row>
    <row r="35" spans="1:61">
      <c r="A35">
        <v>34</v>
      </c>
      <c r="B35" t="s">
        <v>209</v>
      </c>
      <c r="C35">
        <v>3</v>
      </c>
      <c r="D35" s="2">
        <v>1</v>
      </c>
      <c r="E35" s="2">
        <v>1</v>
      </c>
      <c r="F35" s="3">
        <f>IF(A35&gt;'Inputs'!$B$3,INDEX($D$2:$D$37,MAX(1,A35-'Inputs'!$B$3)),0)</f>
        <v>1</v>
      </c>
      <c r="G35" s="3">
        <f>F23+H23</f>
        <v>1.0</v>
      </c>
      <c r="H35" s="3">
        <f>G35*(1-'Inputs'!$B$58)</f>
        <v>0.75</v>
      </c>
      <c r="I35" s="3">
        <f>G35-H35</f>
        <v>0.25</v>
      </c>
      <c r="J35" s="3">
        <f>J34+F35-I35</f>
        <v>13.0625</v>
      </c>
      <c r="K35" s="3">
        <f>SUM($D$2:D35)-SUM($F$2:F35)</f>
        <v>2</v>
      </c>
      <c r="L35" s="3">
        <f>F32+H32+F29+H29+F26+H26+H35</f>
        <v>4.25</v>
      </c>
      <c r="M35" s="3">
        <f>F35+L35</f>
        <v>5.25</v>
      </c>
      <c r="N35" s="3">
        <f>IF(A35+1&gt;'Inputs'!$B$3,INDEX($D$2:$D$37,MAX(1,A35+1-'Inputs'!$B$3)),0)+F33+H33+F30+H30+F27+H27+(F24+H24)*(1-'Inputs'!$B$58)</f>
        <v>5.5</v>
      </c>
      <c r="O35" s="3">
        <f>IF(A35+1&gt;'Inputs'!$B$3,INDEX($D$2:$D$37,MAX(1,A35+1-'Inputs'!$B$3)),0)</f>
        <v>1</v>
      </c>
      <c r="P35" s="3">
        <f>F33+F30+F27</f>
        <v>3</v>
      </c>
      <c r="Q35" s="3">
        <f>H33+H30+H27+(F24+H24)*(1-'Inputs'!$B$58)</f>
        <v>1.5</v>
      </c>
      <c r="R35" s="3">
        <f>IF(A35&gt;'Inputs'!$B$4,INDEX($E$2:$E$37,MAX(1,A35-'Inputs'!$B$4)),0)</f>
        <v>1</v>
      </c>
      <c r="S35" s="3">
        <f>J35*'Inputs'!$B$54/12</f>
        <v>544270.8333333334</v>
      </c>
      <c r="T35" s="3">
        <f>R35*'Inputs'!$B$55</f>
        <v>110000</v>
      </c>
      <c r="U35" s="3">
        <f>S35*IF(C35&gt;1,'Inputs'!$B$60,0)</f>
        <v>0.0</v>
      </c>
      <c r="V35" s="3">
        <f>SUM(S35:U35)</f>
        <v>654270.8333333334</v>
      </c>
      <c r="W35" s="3">
        <f>J35*'Inputs'!$B$56/12</f>
        <v>326562.5</v>
      </c>
      <c r="X35" s="3">
        <f>J35*('Inputs'!$B$56*'Inputs'!$B$17+'Inputs'!$B$10*'Inputs'!$B$11+'Inputs'!$B$12*'Inputs'!$B$13+'Inputs'!$B$14*'Inputs'!$B$15+'Inputs'!$B$57+'Inputs'!$B$16)/12</f>
        <v>155661.45833333334</v>
      </c>
      <c r="Y35" s="3">
        <f>MAX(Y34,ROUNDUP((J35+K35)/'Inputs'!$B$9,0))</f>
        <v>8</v>
      </c>
      <c r="Z35" s="3">
        <f>Y35*'Inputs'!$B$8/12</f>
        <v>120000.0</v>
      </c>
      <c r="AA35" s="3">
        <f>W35+X35+Z35</f>
        <v>602223.9583333334</v>
      </c>
      <c r="AB35" s="3">
        <f>R35*('Inputs'!$B$19+'Inputs'!$B$20*'Inputs'!$B$21+'Inputs'!$B$22*'Inputs'!$B$11+'Inputs'!$B$23+'Inputs'!$B$24)</f>
        <v>94166.66666666667</v>
      </c>
      <c r="AC35" s="3">
        <f>U35*'Inputs'!$B$26</f>
        <v>0.0</v>
      </c>
      <c r="AD35" s="3">
        <f>AA35+AB35+AC35</f>
        <v>696390.625</v>
      </c>
      <c r="AE35" s="3">
        <f>V35-AD35</f>
        <v>-42119.79166666663</v>
      </c>
      <c r="AF35" s="3">
        <f>'Inputs'!$B$29/12</f>
        <v>18000.0</v>
      </c>
      <c r="AG35" s="3">
        <f>'Inputs'!$B$63/12</f>
        <v>55000.0</v>
      </c>
      <c r="AH35" s="3">
        <f>'Inputs'!$B$32/12</f>
        <v>20000.0</v>
      </c>
      <c r="AI35" s="3">
        <f>'Inputs'!$B$35/12</f>
        <v>8333.333333333334</v>
      </c>
      <c r="AJ35" s="3">
        <f>'Inputs'!$B$38/12</f>
        <v>10000.0</v>
      </c>
      <c r="AK35" s="3">
        <f>MAX(1,ROUNDUP((SUM($D$26:$D$37)+0.5*SUM($E$26:$E$37))/'Inputs'!$B$40,0))</f>
        <v>2</v>
      </c>
      <c r="AL35" s="3">
        <f>AK35*'Inputs'!$B$39/12</f>
        <v>30000.0</v>
      </c>
      <c r="AM35" s="3">
        <f>D35*'Inputs'!$B$41+E35*'Inputs'!$B$42</f>
        <v>20000</v>
      </c>
      <c r="AN35" s="3">
        <f>0</f>
        <v>0</v>
      </c>
      <c r="AO35" s="3">
        <f>AF35+AG35+AH35+AI35+AJ35+AL35+AM35+AN35</f>
        <v>161333.3333333333</v>
      </c>
      <c r="AP35" s="3">
        <f>AE35-AO35</f>
        <v>-203453.12499999994</v>
      </c>
      <c r="AQ35" s="3">
        <f>(D35+L35)*'Inputs'!$B$54/4</f>
        <v>656250.0</v>
      </c>
      <c r="AR35" s="3">
        <f>(E35*'Inputs'!$B$25+R35*(1-'Inputs'!$B$25))*'Inputs'!$B$55</f>
        <v>110000.0</v>
      </c>
      <c r="AS35" s="3">
        <f>AQ35+AR35+U35</f>
        <v>766250.0</v>
      </c>
      <c r="AT35" s="3">
        <f>IF(A35&gt;'Inputs'!$B$5,INDEX($AS$2:$AS$37,MAX(1,A35-'Inputs'!$B$5)),0)</f>
        <v>672500.0</v>
      </c>
      <c r="AU35" s="3">
        <f>'Inputs'!$B$56*(O35*'Inputs'!$B$53+P35*(1-'Inputs'!$B$53)/3+Q35/4)</f>
        <v>412500.0</v>
      </c>
      <c r="AV35" s="3">
        <f>(E35+E34)*('Inputs'!$B$19+'Inputs'!$B$20*'Inputs'!$B$21+'Inputs'!$B$22*'Inputs'!$B$11+'Inputs'!$B$23+'Inputs'!$B$24)/2</f>
        <v>47083.333333333336</v>
      </c>
      <c r="AW35" s="3">
        <f>AU35+X35+Z35+AV35+AC35+AO35</f>
        <v>896578.125</v>
      </c>
      <c r="AX35" s="3">
        <f>AT35-AW35</f>
        <v>-224078.125</v>
      </c>
      <c r="AY35" s="3">
        <f>AY34+AX35</f>
        <v>-6635375.0</v>
      </c>
      <c r="AZ35" s="3">
        <f>AZ34+AS35-AT35</f>
        <v>1305312.5</v>
      </c>
      <c r="BA35" s="3">
        <f>BA34+AQ35+AR35-S35-T35</f>
        <v>880520.8333333334</v>
      </c>
      <c r="BB35" s="3">
        <f>BB34+AU35-W35</f>
        <v>981812.5</v>
      </c>
      <c r="BC35" s="3">
        <f>BC34+AV35-AB35</f>
        <v>47083.33333333333</v>
      </c>
      <c r="BD35" s="3">
        <f>J35*'Inputs'!$B$54</f>
        <v>6531250.0</v>
      </c>
      <c r="BE35" s="3">
        <f>(J35+K35)/'Inputs'!$B$9</f>
        <v>7.53125</v>
      </c>
      <c r="BF35" s="3">
        <f>J35*'Inputs'!$B$12</f>
        <v>2.6125000000000003</v>
      </c>
      <c r="BG35" s="3">
        <f>J35*'Inputs'!$B$14</f>
        <v>2.6125000000000003</v>
      </c>
      <c r="BH35" s="3">
        <f>J35*'Inputs'!$B$10/12+E35*'Inputs'!$B$22</f>
        <v>16.552083333333332</v>
      </c>
      <c r="BI35" s="3">
        <f>'Inputs'!$B$6*'Inputs'!$B$7*(F35*('Inputs'!$B$49+'Inputs'!$B$47)+L35*('Inputs'!$B$49+'Inputs'!$B$48))+E35*'Inputs'!$B$46*'Inputs'!$B$18</f>
        <v>12320.0</v>
      </c>
    </row>
    <row r="36" spans="1:61">
      <c r="A36">
        <v>35</v>
      </c>
      <c r="B36" t="s">
        <v>210</v>
      </c>
      <c r="C36">
        <v>3</v>
      </c>
      <c r="D36" s="2">
        <v>1</v>
      </c>
      <c r="E36" s="2">
        <v>0</v>
      </c>
      <c r="F36" s="3">
        <f>IF(A36&gt;'Inputs'!$B$3,INDEX($D$2:$D$37,MAX(1,A36-'Inputs'!$B$3)),0)</f>
        <v>1</v>
      </c>
      <c r="G36" s="3">
        <f>F24+H24</f>
        <v>0.0</v>
      </c>
      <c r="H36" s="3">
        <f>G36*(1-'Inputs'!$B$58)</f>
        <v>0.0</v>
      </c>
      <c r="I36" s="3">
        <f>G36-H36</f>
        <v>0.0</v>
      </c>
      <c r="J36" s="3">
        <f>J35+F36-I36</f>
        <v>14.0625</v>
      </c>
      <c r="K36" s="3">
        <f>SUM($D$2:D36)-SUM($F$2:F36)</f>
        <v>2</v>
      </c>
      <c r="L36" s="3">
        <f>F33+H33+F30+H30+F27+H27+H36</f>
        <v>4.5</v>
      </c>
      <c r="M36" s="3">
        <f>F36+L36</f>
        <v>5.5</v>
      </c>
      <c r="N36" s="3">
        <f>IF(A36+1&gt;'Inputs'!$B$3,INDEX($D$2:$D$37,MAX(1,A36+1-'Inputs'!$B$3)),0)+F34+H34+F31+H31+F28+H28+(F25+H25)*(1-'Inputs'!$B$58)</f>
        <v>4.0625</v>
      </c>
      <c r="O36" s="3">
        <f>IF(A36+1&gt;'Inputs'!$B$3,INDEX($D$2:$D$37,MAX(1,A36+1-'Inputs'!$B$3)),0)</f>
        <v>1</v>
      </c>
      <c r="P36" s="3">
        <f>F34+F31+F28</f>
        <v>1</v>
      </c>
      <c r="Q36" s="3">
        <f>H34+H31+H28+(F25+H25)*(1-'Inputs'!$B$58)</f>
        <v>2.0625</v>
      </c>
      <c r="R36" s="3">
        <f>IF(A36&gt;'Inputs'!$B$4,INDEX($E$2:$E$37,MAX(1,A36-'Inputs'!$B$4)),0)</f>
        <v>0</v>
      </c>
      <c r="S36" s="3">
        <f>J36*'Inputs'!$B$54/12</f>
        <v>585937.5</v>
      </c>
      <c r="T36" s="3">
        <f>R36*'Inputs'!$B$55</f>
        <v>0</v>
      </c>
      <c r="U36" s="3">
        <f>S36*IF(C36&gt;1,'Inputs'!$B$60,0)</f>
        <v>0.0</v>
      </c>
      <c r="V36" s="3">
        <f>SUM(S36:U36)</f>
        <v>585937.5</v>
      </c>
      <c r="W36" s="3">
        <f>J36*'Inputs'!$B$56/12</f>
        <v>351562.5</v>
      </c>
      <c r="X36" s="3">
        <f>J36*('Inputs'!$B$56*'Inputs'!$B$17+'Inputs'!$B$10*'Inputs'!$B$11+'Inputs'!$B$12*'Inputs'!$B$13+'Inputs'!$B$14*'Inputs'!$B$15+'Inputs'!$B$57+'Inputs'!$B$16)/12</f>
        <v>167578.125</v>
      </c>
      <c r="Y36" s="3">
        <f>MAX(Y35,ROUNDUP((J36+K36)/'Inputs'!$B$9,0))</f>
        <v>9</v>
      </c>
      <c r="Z36" s="3">
        <f>Y36*'Inputs'!$B$8/12</f>
        <v>135000.0</v>
      </c>
      <c r="AA36" s="3">
        <f>W36+X36+Z36</f>
        <v>654140.625</v>
      </c>
      <c r="AB36" s="3">
        <f>R36*('Inputs'!$B$19+'Inputs'!$B$20*'Inputs'!$B$21+'Inputs'!$B$22*'Inputs'!$B$11+'Inputs'!$B$23+'Inputs'!$B$24)</f>
        <v>0.0</v>
      </c>
      <c r="AC36" s="3">
        <f>U36*'Inputs'!$B$26</f>
        <v>0.0</v>
      </c>
      <c r="AD36" s="3">
        <f>AA36+AB36+AC36</f>
        <v>654140.625</v>
      </c>
      <c r="AE36" s="3">
        <f>V36-AD36</f>
        <v>-68203.125</v>
      </c>
      <c r="AF36" s="3">
        <f>'Inputs'!$B$29/12</f>
        <v>18000.0</v>
      </c>
      <c r="AG36" s="3">
        <f>'Inputs'!$B$63/12</f>
        <v>55000.0</v>
      </c>
      <c r="AH36" s="3">
        <f>'Inputs'!$B$32/12</f>
        <v>20000.0</v>
      </c>
      <c r="AI36" s="3">
        <f>'Inputs'!$B$35/12</f>
        <v>8333.333333333334</v>
      </c>
      <c r="AJ36" s="3">
        <f>'Inputs'!$B$38/12</f>
        <v>10000.0</v>
      </c>
      <c r="AK36" s="3">
        <f>MAX(1,ROUNDUP((SUM($D$26:$D$37)+0.5*SUM($E$26:$E$37))/'Inputs'!$B$40,0))</f>
        <v>2</v>
      </c>
      <c r="AL36" s="3">
        <f>AK36*'Inputs'!$B$39/12</f>
        <v>30000.0</v>
      </c>
      <c r="AM36" s="3">
        <f>D36*'Inputs'!$B$41+E36*'Inputs'!$B$42</f>
        <v>15000</v>
      </c>
      <c r="AN36" s="3">
        <f>0</f>
        <v>0</v>
      </c>
      <c r="AO36" s="3">
        <f>AF36+AG36+AH36+AI36+AJ36+AL36+AM36+AN36</f>
        <v>156333.3333333333</v>
      </c>
      <c r="AP36" s="3">
        <f>AE36-AO36</f>
        <v>-224536.4583333333</v>
      </c>
      <c r="AQ36" s="3">
        <f>(D36+L36)*'Inputs'!$B$54/4</f>
        <v>687500.0</v>
      </c>
      <c r="AR36" s="3">
        <f>(E36*'Inputs'!$B$25+R36*(1-'Inputs'!$B$25))*'Inputs'!$B$55</f>
        <v>0.0</v>
      </c>
      <c r="AS36" s="3">
        <f>AQ36+AR36+U36</f>
        <v>687500.0</v>
      </c>
      <c r="AT36" s="3">
        <f>IF(A36&gt;'Inputs'!$B$5,INDEX($AS$2:$AS$37,MAX(1,A36-'Inputs'!$B$5)),0)</f>
        <v>539062.5</v>
      </c>
      <c r="AU36" s="3">
        <f>'Inputs'!$B$56*(O36*'Inputs'!$B$53+P36*(1-'Inputs'!$B$53)/3+Q36/4)</f>
        <v>336687.5</v>
      </c>
      <c r="AV36" s="3">
        <f>(E36+E35)*('Inputs'!$B$19+'Inputs'!$B$20*'Inputs'!$B$21+'Inputs'!$B$22*'Inputs'!$B$11+'Inputs'!$B$23+'Inputs'!$B$24)/2</f>
        <v>47083.333333333336</v>
      </c>
      <c r="AW36" s="3">
        <f>AU36+X36+Z36+AV36+AC36+AO36</f>
        <v>842682.2916666667</v>
      </c>
      <c r="AX36" s="3">
        <f>AT36-AW36</f>
        <v>-303619.79166666674</v>
      </c>
      <c r="AY36" s="3">
        <f>AY35+AX36</f>
        <v>-6938994.791666667</v>
      </c>
      <c r="AZ36" s="3">
        <f>AZ35+AS36-AT36</f>
        <v>1453750.0</v>
      </c>
      <c r="BA36" s="3">
        <f>BA35+AQ36+AR36-S36-T36</f>
        <v>982083.3333333335</v>
      </c>
      <c r="BB36" s="3">
        <f>BB35+AU36-W36</f>
        <v>966937.5</v>
      </c>
      <c r="BC36" s="3">
        <f>BC35+AV36-AB36</f>
        <v>94166.66666666666</v>
      </c>
      <c r="BD36" s="3">
        <f>J36*'Inputs'!$B$54</f>
        <v>7031250.0</v>
      </c>
      <c r="BE36" s="3">
        <f>(J36+K36)/'Inputs'!$B$9</f>
        <v>8.03125</v>
      </c>
      <c r="BF36" s="3">
        <f>J36*'Inputs'!$B$12</f>
        <v>2.8125</v>
      </c>
      <c r="BG36" s="3">
        <f>J36*'Inputs'!$B$14</f>
        <v>2.8125</v>
      </c>
      <c r="BH36" s="3">
        <f>J36*'Inputs'!$B$10/12+E36*'Inputs'!$B$22</f>
        <v>11.71875</v>
      </c>
      <c r="BI36" s="3">
        <f>'Inputs'!$B$6*'Inputs'!$B$7*(F36*('Inputs'!$B$49+'Inputs'!$B$47)+L36*('Inputs'!$B$49+'Inputs'!$B$48))+E36*'Inputs'!$B$46*'Inputs'!$B$18</f>
        <v>11040.0</v>
      </c>
    </row>
    <row r="37" spans="1:61">
      <c r="A37">
        <v>36</v>
      </c>
      <c r="B37" t="s">
        <v>211</v>
      </c>
      <c r="C37">
        <v>3</v>
      </c>
      <c r="D37" s="2">
        <v>1</v>
      </c>
      <c r="E37" s="2">
        <v>1</v>
      </c>
      <c r="F37" s="3">
        <f>IF(A37&gt;'Inputs'!$B$3,INDEX($D$2:$D$37,MAX(1,A37-'Inputs'!$B$3)),0)</f>
        <v>1</v>
      </c>
      <c r="G37" s="3">
        <f>F25+H25</f>
        <v>1.0</v>
      </c>
      <c r="H37" s="3">
        <f>G37*(1-'Inputs'!$B$58)</f>
        <v>0.75</v>
      </c>
      <c r="I37" s="3">
        <f>G37-H37</f>
        <v>0.25</v>
      </c>
      <c r="J37" s="3">
        <f>J36+F37-I37</f>
        <v>14.8125</v>
      </c>
      <c r="K37" s="3">
        <f>SUM($D$2:D37)-SUM($F$2:F37)</f>
        <v>2</v>
      </c>
      <c r="L37" s="3">
        <f>F34+H34+F31+H31+F28+H28+H37</f>
        <v>3.0625</v>
      </c>
      <c r="M37" s="3">
        <f>F37+L37</f>
        <v>4.0625</v>
      </c>
      <c r="N37" s="3">
        <f>IF(A37+1&gt;'Inputs'!$B$3,INDEX($D$2:$D$37,MAX(1,A37+1-'Inputs'!$B$3)),0)+F35+H35+F32+H32+F29+H29+(F26+H26)*(1-'Inputs'!$B$58)</f>
        <v>6.0625</v>
      </c>
      <c r="O37" s="3">
        <f>IF(A37+1&gt;'Inputs'!$B$3,INDEX($D$2:$D$37,MAX(1,A37+1-'Inputs'!$B$3)),0)</f>
        <v>1</v>
      </c>
      <c r="P37" s="3">
        <f>F35+F32+F29</f>
        <v>3</v>
      </c>
      <c r="Q37" s="3">
        <f>H35+H32+H29+(F26+H26)*(1-'Inputs'!$B$58)</f>
        <v>2.0625</v>
      </c>
      <c r="R37" s="3">
        <f>IF(A37&gt;'Inputs'!$B$4,INDEX($E$2:$E$37,MAX(1,A37-'Inputs'!$B$4)),0)</f>
        <v>1</v>
      </c>
      <c r="S37" s="3">
        <f>J37*'Inputs'!$B$54/12</f>
        <v>617187.5</v>
      </c>
      <c r="T37" s="3">
        <f>R37*'Inputs'!$B$55</f>
        <v>110000</v>
      </c>
      <c r="U37" s="3">
        <f>S37*IF(C37&gt;1,'Inputs'!$B$60,0)</f>
        <v>0.0</v>
      </c>
      <c r="V37" s="3">
        <f>SUM(S37:U37)</f>
        <v>727187.5</v>
      </c>
      <c r="W37" s="3">
        <f>J37*'Inputs'!$B$56/12</f>
        <v>370312.5</v>
      </c>
      <c r="X37" s="3">
        <f>J37*('Inputs'!$B$56*'Inputs'!$B$17+'Inputs'!$B$10*'Inputs'!$B$11+'Inputs'!$B$12*'Inputs'!$B$13+'Inputs'!$B$14*'Inputs'!$B$15+'Inputs'!$B$57+'Inputs'!$B$16)/12</f>
        <v>176515.625</v>
      </c>
      <c r="Y37" s="3">
        <f>MAX(Y36,ROUNDUP((J37+K37)/'Inputs'!$B$9,0))</f>
        <v>9</v>
      </c>
      <c r="Z37" s="3">
        <f>Y37*'Inputs'!$B$8/12</f>
        <v>135000.0</v>
      </c>
      <c r="AA37" s="3">
        <f>W37+X37+Z37</f>
        <v>681828.125</v>
      </c>
      <c r="AB37" s="3">
        <f>R37*('Inputs'!$B$19+'Inputs'!$B$20*'Inputs'!$B$21+'Inputs'!$B$22*'Inputs'!$B$11+'Inputs'!$B$23+'Inputs'!$B$24)</f>
        <v>94166.66666666667</v>
      </c>
      <c r="AC37" s="3">
        <f>U37*'Inputs'!$B$26</f>
        <v>0.0</v>
      </c>
      <c r="AD37" s="3">
        <f>AA37+AB37+AC37</f>
        <v>775994.7916666666</v>
      </c>
      <c r="AE37" s="3">
        <f>V37-AD37</f>
        <v>-48807.29166666663</v>
      </c>
      <c r="AF37" s="3">
        <f>'Inputs'!$B$29/12</f>
        <v>18000.0</v>
      </c>
      <c r="AG37" s="3">
        <f>'Inputs'!$B$63/12</f>
        <v>55000.0</v>
      </c>
      <c r="AH37" s="3">
        <f>'Inputs'!$B$32/12</f>
        <v>20000.0</v>
      </c>
      <c r="AI37" s="3">
        <f>'Inputs'!$B$35/12</f>
        <v>8333.333333333334</v>
      </c>
      <c r="AJ37" s="3">
        <f>'Inputs'!$B$38/12</f>
        <v>10000.0</v>
      </c>
      <c r="AK37" s="3">
        <f>MAX(1,ROUNDUP((SUM($D$26:$D$37)+0.5*SUM($E$26:$E$37))/'Inputs'!$B$40,0))</f>
        <v>2</v>
      </c>
      <c r="AL37" s="3">
        <f>AK37*'Inputs'!$B$39/12</f>
        <v>30000.0</v>
      </c>
      <c r="AM37" s="3">
        <f>D37*'Inputs'!$B$41+E37*'Inputs'!$B$42</f>
        <v>20000</v>
      </c>
      <c r="AN37" s="3">
        <f>0</f>
        <v>0</v>
      </c>
      <c r="AO37" s="3">
        <f>AF37+AG37+AH37+AI37+AJ37+AL37+AM37+AN37</f>
        <v>161333.3333333333</v>
      </c>
      <c r="AP37" s="3">
        <f>AE37-AO37</f>
        <v>-210140.62499999994</v>
      </c>
      <c r="AQ37" s="3">
        <f>(D37+L37)*'Inputs'!$B$54/4</f>
        <v>507812.5</v>
      </c>
      <c r="AR37" s="3">
        <f>(E37*'Inputs'!$B$25+R37*(1-'Inputs'!$B$25))*'Inputs'!$B$55</f>
        <v>110000.0</v>
      </c>
      <c r="AS37" s="3">
        <f>AQ37+AR37+U37</f>
        <v>617812.5</v>
      </c>
      <c r="AT37" s="3">
        <f>IF(A37&gt;'Inputs'!$B$5,INDEX($AS$2:$AS$37,MAX(1,A37-'Inputs'!$B$5)),0)</f>
        <v>766250.0</v>
      </c>
      <c r="AU37" s="3">
        <f>'Inputs'!$B$56*(O37*'Inputs'!$B$53+P37*(1-'Inputs'!$B$53)/3+Q37/4)</f>
        <v>454687.5</v>
      </c>
      <c r="AV37" s="3">
        <f>(E37+E36)*('Inputs'!$B$19+'Inputs'!$B$20*'Inputs'!$B$21+'Inputs'!$B$22*'Inputs'!$B$11+'Inputs'!$B$23+'Inputs'!$B$24)/2</f>
        <v>47083.333333333336</v>
      </c>
      <c r="AW37" s="3">
        <f>AU37+X37+Z37+AV37+AC37+AO37</f>
        <v>974619.7916666667</v>
      </c>
      <c r="AX37" s="3">
        <f>AT37-AW37</f>
        <v>-208369.79166666674</v>
      </c>
      <c r="AY37" s="3">
        <f>AY36+AX37</f>
        <v>-7147364.583333334</v>
      </c>
      <c r="AZ37" s="3">
        <f>AZ36+AS37-AT37</f>
        <v>1305312.5</v>
      </c>
      <c r="BA37" s="3">
        <f>BA36+AQ37+AR37-S37-T37</f>
        <v>872708.3333333335</v>
      </c>
      <c r="BB37" s="3">
        <f>BB36+AU37-W37</f>
        <v>1051312.5</v>
      </c>
      <c r="BC37" s="3">
        <f>BC36+AV37-AB37</f>
        <v>47083.33333333333</v>
      </c>
      <c r="BD37" s="3">
        <f>J37*'Inputs'!$B$54</f>
        <v>7406250.0</v>
      </c>
      <c r="BE37" s="3">
        <f>(J37+K37)/'Inputs'!$B$9</f>
        <v>8.40625</v>
      </c>
      <c r="BF37" s="3">
        <f>J37*'Inputs'!$B$12</f>
        <v>2.9625000000000004</v>
      </c>
      <c r="BG37" s="3">
        <f>J37*'Inputs'!$B$14</f>
        <v>2.9625000000000004</v>
      </c>
      <c r="BH37" s="3">
        <f>J37*'Inputs'!$B$10/12+E37*'Inputs'!$B$22</f>
        <v>18.010416666666664</v>
      </c>
      <c r="BI37" s="3">
        <f>'Inputs'!$B$6*'Inputs'!$B$7*(F37*('Inputs'!$B$49+'Inputs'!$B$47)+L37*('Inputs'!$B$49+'Inputs'!$B$48))+E37*'Inputs'!$B$46*'Inputs'!$B$18</f>
        <v>10040.0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I37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/>
  <cols>
    <col min="1" max="61" width="20.7109375" customWidth="1"/>
  </cols>
  <sheetData>
    <row r="1" spans="1:61">
      <c r="A1" s="1" t="s">
        <v>133</v>
      </c>
      <c r="B1" s="1" t="s">
        <v>134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135</v>
      </c>
      <c r="H1" s="1" t="s">
        <v>136</v>
      </c>
      <c r="I1" s="1" t="s">
        <v>137</v>
      </c>
      <c r="J1" s="1" t="s">
        <v>138</v>
      </c>
      <c r="K1" s="1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P1" s="1" t="s">
        <v>144</v>
      </c>
      <c r="Q1" s="1" t="s">
        <v>145</v>
      </c>
      <c r="R1" s="1" t="s">
        <v>104</v>
      </c>
      <c r="S1" s="1" t="s">
        <v>105</v>
      </c>
      <c r="T1" s="1" t="s">
        <v>106</v>
      </c>
      <c r="U1" s="1" t="s">
        <v>107</v>
      </c>
      <c r="V1" s="1" t="s">
        <v>108</v>
      </c>
      <c r="W1" s="1" t="s">
        <v>146</v>
      </c>
      <c r="X1" s="1" t="s">
        <v>147</v>
      </c>
      <c r="Y1" s="1" t="s">
        <v>148</v>
      </c>
      <c r="Z1" s="1" t="s">
        <v>149</v>
      </c>
      <c r="AA1" s="1" t="s">
        <v>150</v>
      </c>
      <c r="AB1" s="1" t="s">
        <v>151</v>
      </c>
      <c r="AC1" s="1" t="s">
        <v>152</v>
      </c>
      <c r="AD1" s="1" t="s">
        <v>109</v>
      </c>
      <c r="AE1" s="1" t="s">
        <v>110</v>
      </c>
      <c r="AF1" s="1" t="s">
        <v>153</v>
      </c>
      <c r="AG1" s="1" t="s">
        <v>154</v>
      </c>
      <c r="AH1" s="1" t="s">
        <v>155</v>
      </c>
      <c r="AI1" s="1" t="s">
        <v>156</v>
      </c>
      <c r="AJ1" s="1" t="s">
        <v>157</v>
      </c>
      <c r="AK1" s="1" t="s">
        <v>158</v>
      </c>
      <c r="AL1" s="1" t="s">
        <v>159</v>
      </c>
      <c r="AM1" s="1" t="s">
        <v>160</v>
      </c>
      <c r="AN1" s="1" t="s">
        <v>161</v>
      </c>
      <c r="AO1" s="1" t="s">
        <v>111</v>
      </c>
      <c r="AP1" s="1" t="s">
        <v>112</v>
      </c>
      <c r="AQ1" s="1" t="s">
        <v>162</v>
      </c>
      <c r="AR1" s="1" t="s">
        <v>163</v>
      </c>
      <c r="AS1" s="1" t="s">
        <v>164</v>
      </c>
      <c r="AT1" s="1" t="s">
        <v>165</v>
      </c>
      <c r="AU1" s="1" t="s">
        <v>166</v>
      </c>
      <c r="AV1" s="1" t="s">
        <v>167</v>
      </c>
      <c r="AW1" s="1" t="s">
        <v>168</v>
      </c>
      <c r="AX1" s="1" t="s">
        <v>113</v>
      </c>
      <c r="AY1" s="1" t="s">
        <v>169</v>
      </c>
      <c r="AZ1" s="1" t="s">
        <v>120</v>
      </c>
      <c r="BA1" s="1" t="s">
        <v>121</v>
      </c>
      <c r="BB1" s="1" t="s">
        <v>170</v>
      </c>
      <c r="BC1" s="1" t="s">
        <v>171</v>
      </c>
      <c r="BD1" s="1" t="s">
        <v>118</v>
      </c>
      <c r="BE1" s="1" t="s">
        <v>172</v>
      </c>
      <c r="BF1" s="1" t="s">
        <v>173</v>
      </c>
      <c r="BG1" s="1" t="s">
        <v>174</v>
      </c>
      <c r="BH1" s="1" t="s">
        <v>175</v>
      </c>
      <c r="BI1" s="1" t="s">
        <v>114</v>
      </c>
    </row>
    <row r="2" spans="1:61">
      <c r="A2">
        <v>1</v>
      </c>
      <c r="B2" t="s">
        <v>176</v>
      </c>
      <c r="C2">
        <v>1</v>
      </c>
      <c r="D2" s="2">
        <v>1</v>
      </c>
      <c r="E2" s="2">
        <v>0</v>
      </c>
      <c r="F2" s="3">
        <f>IF(A2&gt;'Inputs'!$B$3,INDEX($D$2:$D$37,MAX(1,A2-'Inputs'!$B$3)),0)</f>
        <v>0</v>
      </c>
      <c r="G2" s="3">
        <f>0+0</f>
        <v>0</v>
      </c>
      <c r="H2" s="3">
        <f>G2*(1-'Inputs'!$B$68)</f>
        <v>0.0</v>
      </c>
      <c r="I2" s="3">
        <f>G2-H2</f>
        <v>0.0</v>
      </c>
      <c r="J2" s="3">
        <f>0+F2-I2</f>
        <v>0.0</v>
      </c>
      <c r="K2" s="3">
        <f>SUM($D$2:D2)-SUM($F$2:F2)</f>
        <v>1</v>
      </c>
      <c r="L2" s="3">
        <f>0+0+0+0+0+0+H2</f>
        <v>0.0</v>
      </c>
      <c r="M2" s="3">
        <f>F2+L2</f>
        <v>0.0</v>
      </c>
      <c r="N2" s="3">
        <f>IF(A2+1&gt;'Inputs'!$B$3,INDEX($D$2:$D$37,MAX(1,A2+1-'Inputs'!$B$3)),0)+0+0+0+0+0+0+(0+0)*(1-'Inputs'!$B$68)</f>
        <v>0.0</v>
      </c>
      <c r="O2" s="3">
        <f>IF(A2+1&gt;'Inputs'!$B$3,INDEX($D$2:$D$37,MAX(1,A2+1-'Inputs'!$B$3)),0)</f>
        <v>0</v>
      </c>
      <c r="P2" s="3">
        <f>0+0+0</f>
        <v>0</v>
      </c>
      <c r="Q2" s="3">
        <f>0+0+0+(0+0)*(1-'Inputs'!$B$68)</f>
        <v>0.0</v>
      </c>
      <c r="R2" s="3">
        <f>IF(A2&gt;'Inputs'!$B$4,INDEX($E$2:$E$37,MAX(1,A2-'Inputs'!$B$4)),0)</f>
        <v>0</v>
      </c>
      <c r="S2" s="3">
        <f>J2*'Inputs'!$B$64/12</f>
        <v>0.0</v>
      </c>
      <c r="T2" s="3">
        <f>R2*'Inputs'!$B$65</f>
        <v>0</v>
      </c>
      <c r="U2" s="3">
        <f>S2*IF(C2&gt;1,'Inputs'!$B$70,0)</f>
        <v>0.0</v>
      </c>
      <c r="V2" s="3">
        <f>SUM(S2:U2)</f>
        <v>0.0</v>
      </c>
      <c r="W2" s="3">
        <f>J2*'Inputs'!$B$66/12</f>
        <v>0.0</v>
      </c>
      <c r="X2" s="3">
        <f>J2*('Inputs'!$B$66*'Inputs'!$B$17+'Inputs'!$B$10*'Inputs'!$B$11+'Inputs'!$B$12*'Inputs'!$B$13+'Inputs'!$B$14*'Inputs'!$B$15+'Inputs'!$B$67+'Inputs'!$B$16)/12</f>
        <v>0.0</v>
      </c>
      <c r="Y2" s="3">
        <f>MAX(0,ROUNDUP((J2+K2)/'Inputs'!$B$9,0))</f>
        <v>1</v>
      </c>
      <c r="Z2" s="3">
        <f>Y2*'Inputs'!$B$8/12</f>
        <v>15000.0</v>
      </c>
      <c r="AA2" s="3">
        <f>W2+X2+Z2</f>
        <v>15000.0</v>
      </c>
      <c r="AB2" s="3">
        <f>R2*('Inputs'!$B$19+'Inputs'!$B$20*'Inputs'!$B$21+'Inputs'!$B$22*'Inputs'!$B$11+'Inputs'!$B$23+'Inputs'!$B$24)</f>
        <v>0.0</v>
      </c>
      <c r="AC2" s="3">
        <f>U2*'Inputs'!$B$26</f>
        <v>0.0</v>
      </c>
      <c r="AD2" s="3">
        <f>AA2+AB2+AC2</f>
        <v>15000.0</v>
      </c>
      <c r="AE2" s="3">
        <f>V2-AD2</f>
        <v>-15000.0</v>
      </c>
      <c r="AF2" s="3">
        <f>'Inputs'!$B$27/12</f>
        <v>15000.0</v>
      </c>
      <c r="AG2" s="3">
        <f>'Inputs'!$B$71/12</f>
        <v>62500.0</v>
      </c>
      <c r="AH2" s="3">
        <f>'Inputs'!$B$30/12</f>
        <v>10000.0</v>
      </c>
      <c r="AI2" s="3">
        <f>'Inputs'!$B$33/12</f>
        <v>5000.0</v>
      </c>
      <c r="AJ2" s="3">
        <f>'Inputs'!$B$36/12</f>
        <v>5000.0</v>
      </c>
      <c r="AK2" s="3">
        <f>MAX(1,ROUNDUP((SUM($D$2:$D$13)+0.5*SUM($E$2:$E$13))/'Inputs'!$B$40,0))</f>
        <v>1</v>
      </c>
      <c r="AL2" s="3">
        <f>AK2*'Inputs'!$B$39/12</f>
        <v>15000.0</v>
      </c>
      <c r="AM2" s="3">
        <f>D2*'Inputs'!$B$41+E2*'Inputs'!$B$42</f>
        <v>15000</v>
      </c>
      <c r="AN2" s="3">
        <f>'Inputs'!$B$43</f>
        <v>140000</v>
      </c>
      <c r="AO2" s="3">
        <f>AF2+AG2+AH2+AI2+AJ2+AL2+AM2+AN2</f>
        <v>267500.0</v>
      </c>
      <c r="AP2" s="3">
        <f>AE2-AO2</f>
        <v>-282500.0</v>
      </c>
      <c r="AQ2" s="3">
        <f>(D2+L2)*'Inputs'!$B$64/4</f>
        <v>187500.0</v>
      </c>
      <c r="AR2" s="3">
        <f>(E2*'Inputs'!$B$25+R2*(1-'Inputs'!$B$25))*'Inputs'!$B$65</f>
        <v>0.0</v>
      </c>
      <c r="AS2" s="3">
        <f>AQ2+AR2+U2</f>
        <v>187500.0</v>
      </c>
      <c r="AT2" s="3">
        <f>IF(A2&gt;'Inputs'!$B$5,INDEX($AS$2:$AS$37,MAX(1,A2-'Inputs'!$B$5)),0)</f>
        <v>0</v>
      </c>
      <c r="AU2" s="3">
        <f>'Inputs'!$B$66*(O2*'Inputs'!$B$53+P2*(1-'Inputs'!$B$53)/3+Q2/4)</f>
        <v>0.0</v>
      </c>
      <c r="AV2" s="3">
        <f>(E2+0)*('Inputs'!$B$19+'Inputs'!$B$20*'Inputs'!$B$21+'Inputs'!$B$22*'Inputs'!$B$11+'Inputs'!$B$23+'Inputs'!$B$24)/2</f>
        <v>0.0</v>
      </c>
      <c r="AW2" s="3">
        <f>AU2+X2+Z2+AV2+AC2+AO2</f>
        <v>282500.0</v>
      </c>
      <c r="AX2" s="3">
        <f>AT2-AW2</f>
        <v>-282500.0</v>
      </c>
      <c r="AY2" s="3">
        <f>0+AX2</f>
        <v>-282500.0</v>
      </c>
      <c r="AZ2" s="3">
        <f>0+AS2-AT2</f>
        <v>187500.0</v>
      </c>
      <c r="BA2" s="3">
        <f>0+AQ2+AR2-S2-T2</f>
        <v>187500.0</v>
      </c>
      <c r="BB2" s="3">
        <f>0+AU2-W2</f>
        <v>0.0</v>
      </c>
      <c r="BC2" s="3">
        <f>0+AV2-AB2</f>
        <v>0.0</v>
      </c>
      <c r="BD2" s="3">
        <f>J2*'Inputs'!$B$64</f>
        <v>0.0</v>
      </c>
      <c r="BE2" s="3">
        <f>(J2+K2)/'Inputs'!$B$9</f>
        <v>0.5</v>
      </c>
      <c r="BF2" s="3">
        <f>J2*'Inputs'!$B$12</f>
        <v>0.0</v>
      </c>
      <c r="BG2" s="3">
        <f>J2*'Inputs'!$B$14</f>
        <v>0.0</v>
      </c>
      <c r="BH2" s="3">
        <f>J2*'Inputs'!$B$10/12+E2*'Inputs'!$B$22</f>
        <v>0.0</v>
      </c>
      <c r="BI2" s="3">
        <f>'Inputs'!$B$6*'Inputs'!$B$7*(F2*('Inputs'!$B$49+'Inputs'!$B$47)+L2*('Inputs'!$B$49+'Inputs'!$B$48))+E2*'Inputs'!$B$46*'Inputs'!$B$18</f>
        <v>0.0</v>
      </c>
    </row>
    <row r="3" spans="1:61">
      <c r="A3">
        <v>2</v>
      </c>
      <c r="B3" t="s">
        <v>177</v>
      </c>
      <c r="C3">
        <v>1</v>
      </c>
      <c r="D3" s="2">
        <v>0</v>
      </c>
      <c r="E3" s="2">
        <v>0</v>
      </c>
      <c r="F3" s="3">
        <f>IF(A3&gt;'Inputs'!$B$3,INDEX($D$2:$D$37,MAX(1,A3-'Inputs'!$B$3)),0)</f>
        <v>0</v>
      </c>
      <c r="G3" s="3">
        <f>0+0</f>
        <v>0</v>
      </c>
      <c r="H3" s="3">
        <f>G3*(1-'Inputs'!$B$68)</f>
        <v>0.0</v>
      </c>
      <c r="I3" s="3">
        <f>G3-H3</f>
        <v>0.0</v>
      </c>
      <c r="J3" s="3">
        <f>J2+F3-I3</f>
        <v>0.0</v>
      </c>
      <c r="K3" s="3">
        <f>SUM($D$2:D3)-SUM($F$2:F3)</f>
        <v>1</v>
      </c>
      <c r="L3" s="3">
        <f>0+0+0+0+0+0+H3</f>
        <v>0.0</v>
      </c>
      <c r="M3" s="3">
        <f>F3+L3</f>
        <v>0.0</v>
      </c>
      <c r="N3" s="3">
        <f>IF(A3+1&gt;'Inputs'!$B$3,INDEX($D$2:$D$37,MAX(1,A3+1-'Inputs'!$B$3)),0)+0+0+0+0+0+0+(0+0)*(1-'Inputs'!$B$68)</f>
        <v>1.0</v>
      </c>
      <c r="O3" s="3">
        <f>IF(A3+1&gt;'Inputs'!$B$3,INDEX($D$2:$D$37,MAX(1,A3+1-'Inputs'!$B$3)),0)</f>
        <v>1</v>
      </c>
      <c r="P3" s="3">
        <f>0+0+0</f>
        <v>0</v>
      </c>
      <c r="Q3" s="3">
        <f>0+0+0+(0+0)*(1-'Inputs'!$B$68)</f>
        <v>0.0</v>
      </c>
      <c r="R3" s="3">
        <f>IF(A3&gt;'Inputs'!$B$4,INDEX($E$2:$E$37,MAX(1,A3-'Inputs'!$B$4)),0)</f>
        <v>0</v>
      </c>
      <c r="S3" s="3">
        <f>J3*'Inputs'!$B$64/12</f>
        <v>0.0</v>
      </c>
      <c r="T3" s="3">
        <f>R3*'Inputs'!$B$65</f>
        <v>0</v>
      </c>
      <c r="U3" s="3">
        <f>S3*IF(C3&gt;1,'Inputs'!$B$70,0)</f>
        <v>0.0</v>
      </c>
      <c r="V3" s="3">
        <f>SUM(S3:U3)</f>
        <v>0.0</v>
      </c>
      <c r="W3" s="3">
        <f>J3*'Inputs'!$B$66/12</f>
        <v>0.0</v>
      </c>
      <c r="X3" s="3">
        <f>J3*('Inputs'!$B$66*'Inputs'!$B$17+'Inputs'!$B$10*'Inputs'!$B$11+'Inputs'!$B$12*'Inputs'!$B$13+'Inputs'!$B$14*'Inputs'!$B$15+'Inputs'!$B$67+'Inputs'!$B$16)/12</f>
        <v>0.0</v>
      </c>
      <c r="Y3" s="3">
        <f>MAX(Y2,ROUNDUP((J3+K3)/'Inputs'!$B$9,0))</f>
        <v>1</v>
      </c>
      <c r="Z3" s="3">
        <f>Y3*'Inputs'!$B$8/12</f>
        <v>15000.0</v>
      </c>
      <c r="AA3" s="3">
        <f>W3+X3+Z3</f>
        <v>15000.0</v>
      </c>
      <c r="AB3" s="3">
        <f>R3*('Inputs'!$B$19+'Inputs'!$B$20*'Inputs'!$B$21+'Inputs'!$B$22*'Inputs'!$B$11+'Inputs'!$B$23+'Inputs'!$B$24)</f>
        <v>0.0</v>
      </c>
      <c r="AC3" s="3">
        <f>U3*'Inputs'!$B$26</f>
        <v>0.0</v>
      </c>
      <c r="AD3" s="3">
        <f>AA3+AB3+AC3</f>
        <v>15000.0</v>
      </c>
      <c r="AE3" s="3">
        <f>V3-AD3</f>
        <v>-15000.0</v>
      </c>
      <c r="AF3" s="3">
        <f>'Inputs'!$B$27/12</f>
        <v>15000.0</v>
      </c>
      <c r="AG3" s="3">
        <f>'Inputs'!$B$71/12</f>
        <v>62500.0</v>
      </c>
      <c r="AH3" s="3">
        <f>'Inputs'!$B$30/12</f>
        <v>10000.0</v>
      </c>
      <c r="AI3" s="3">
        <f>'Inputs'!$B$33/12</f>
        <v>5000.0</v>
      </c>
      <c r="AJ3" s="3">
        <f>'Inputs'!$B$36/12</f>
        <v>5000.0</v>
      </c>
      <c r="AK3" s="3">
        <f>MAX(1,ROUNDUP((SUM($D$2:$D$13)+0.5*SUM($E$2:$E$13))/'Inputs'!$B$40,0))</f>
        <v>1</v>
      </c>
      <c r="AL3" s="3">
        <f>AK3*'Inputs'!$B$39/12</f>
        <v>15000.0</v>
      </c>
      <c r="AM3" s="3">
        <f>D3*'Inputs'!$B$41+E3*'Inputs'!$B$42</f>
        <v>0</v>
      </c>
      <c r="AN3" s="3">
        <f>0</f>
        <v>0</v>
      </c>
      <c r="AO3" s="3">
        <f>AF3+AG3+AH3+AI3+AJ3+AL3+AM3+AN3</f>
        <v>112500.0</v>
      </c>
      <c r="AP3" s="3">
        <f>AE3-AO3</f>
        <v>-127500.0</v>
      </c>
      <c r="AQ3" s="3">
        <f>(D3+L3)*'Inputs'!$B$64/4</f>
        <v>0.0</v>
      </c>
      <c r="AR3" s="3">
        <f>(E3*'Inputs'!$B$25+R3*(1-'Inputs'!$B$25))*'Inputs'!$B$65</f>
        <v>0.0</v>
      </c>
      <c r="AS3" s="3">
        <f>AQ3+AR3+U3</f>
        <v>0.0</v>
      </c>
      <c r="AT3" s="3">
        <f>IF(A3&gt;'Inputs'!$B$5,INDEX($AS$2:$AS$37,MAX(1,A3-'Inputs'!$B$5)),0)</f>
        <v>0</v>
      </c>
      <c r="AU3" s="3">
        <f>'Inputs'!$B$66*(O3*'Inputs'!$B$53+P3*(1-'Inputs'!$B$53)/3+Q3/4)</f>
        <v>90200.0</v>
      </c>
      <c r="AV3" s="3">
        <f>(E3+E2)*('Inputs'!$B$19+'Inputs'!$B$20*'Inputs'!$B$21+'Inputs'!$B$22*'Inputs'!$B$11+'Inputs'!$B$23+'Inputs'!$B$24)/2</f>
        <v>0.0</v>
      </c>
      <c r="AW3" s="3">
        <f>AU3+X3+Z3+AV3+AC3+AO3</f>
        <v>217700.0</v>
      </c>
      <c r="AX3" s="3">
        <f>AT3-AW3</f>
        <v>-217700.0</v>
      </c>
      <c r="AY3" s="3">
        <f>AY2+AX3</f>
        <v>-500200.0</v>
      </c>
      <c r="AZ3" s="3">
        <f>AZ2+AS3-AT3</f>
        <v>187500.0</v>
      </c>
      <c r="BA3" s="3">
        <f>BA2+AQ3+AR3-S3-T3</f>
        <v>187500.0</v>
      </c>
      <c r="BB3" s="3">
        <f>BB2+AU3-W3</f>
        <v>90200.0</v>
      </c>
      <c r="BC3" s="3">
        <f>BC2+AV3-AB3</f>
        <v>0.0</v>
      </c>
      <c r="BD3" s="3">
        <f>J3*'Inputs'!$B$64</f>
        <v>0.0</v>
      </c>
      <c r="BE3" s="3">
        <f>(J3+K3)/'Inputs'!$B$9</f>
        <v>0.5</v>
      </c>
      <c r="BF3" s="3">
        <f>J3*'Inputs'!$B$12</f>
        <v>0.0</v>
      </c>
      <c r="BG3" s="3">
        <f>J3*'Inputs'!$B$14</f>
        <v>0.0</v>
      </c>
      <c r="BH3" s="3">
        <f>J3*'Inputs'!$B$10/12+E3*'Inputs'!$B$22</f>
        <v>0.0</v>
      </c>
      <c r="BI3" s="3">
        <f>'Inputs'!$B$6*'Inputs'!$B$7*(F3*('Inputs'!$B$49+'Inputs'!$B$47)+L3*('Inputs'!$B$49+'Inputs'!$B$48))+E3*'Inputs'!$B$46*'Inputs'!$B$18</f>
        <v>0.0</v>
      </c>
    </row>
    <row r="4" spans="1:61">
      <c r="A4">
        <v>3</v>
      </c>
      <c r="B4" t="s">
        <v>178</v>
      </c>
      <c r="C4">
        <v>1</v>
      </c>
      <c r="D4" s="2">
        <v>0</v>
      </c>
      <c r="E4" s="2">
        <v>1</v>
      </c>
      <c r="F4" s="3">
        <f>IF(A4&gt;'Inputs'!$B$3,INDEX($D$2:$D$37,MAX(1,A4-'Inputs'!$B$3)),0)</f>
        <v>1</v>
      </c>
      <c r="G4" s="3">
        <f>0+0</f>
        <v>0</v>
      </c>
      <c r="H4" s="3">
        <f>G4*(1-'Inputs'!$B$68)</f>
        <v>0.0</v>
      </c>
      <c r="I4" s="3">
        <f>G4-H4</f>
        <v>0.0</v>
      </c>
      <c r="J4" s="3">
        <f>J3+F4-I4</f>
        <v>1.0</v>
      </c>
      <c r="K4" s="3">
        <f>SUM($D$2:D4)-SUM($F$2:F4)</f>
        <v>0</v>
      </c>
      <c r="L4" s="3">
        <f>0+0+0+0+0+0+H4</f>
        <v>0.0</v>
      </c>
      <c r="M4" s="3">
        <f>F4+L4</f>
        <v>1.0</v>
      </c>
      <c r="N4" s="3">
        <f>IF(A4+1&gt;'Inputs'!$B$3,INDEX($D$2:$D$37,MAX(1,A4+1-'Inputs'!$B$3)),0)+F2+H2+0+0+0+0+(0+0)*(1-'Inputs'!$B$68)</f>
        <v>0.0</v>
      </c>
      <c r="O4" s="3">
        <f>IF(A4+1&gt;'Inputs'!$B$3,INDEX($D$2:$D$37,MAX(1,A4+1-'Inputs'!$B$3)),0)</f>
        <v>0</v>
      </c>
      <c r="P4" s="3">
        <f>F2+0+0</f>
        <v>0</v>
      </c>
      <c r="Q4" s="3">
        <f>H2+0+0+(0+0)*(1-'Inputs'!$B$68)</f>
        <v>0.0</v>
      </c>
      <c r="R4" s="3">
        <f>IF(A4&gt;'Inputs'!$B$4,INDEX($E$2:$E$37,MAX(1,A4-'Inputs'!$B$4)),0)</f>
        <v>0</v>
      </c>
      <c r="S4" s="3">
        <f>J4*'Inputs'!$B$64/12</f>
        <v>62500.0</v>
      </c>
      <c r="T4" s="3">
        <f>R4*'Inputs'!$B$65</f>
        <v>0</v>
      </c>
      <c r="U4" s="3">
        <f>S4*IF(C4&gt;1,'Inputs'!$B$70,0)</f>
        <v>0.0</v>
      </c>
      <c r="V4" s="3">
        <f>SUM(S4:U4)</f>
        <v>62500.0</v>
      </c>
      <c r="W4" s="3">
        <f>J4*'Inputs'!$B$66/12</f>
        <v>18333.333333333332</v>
      </c>
      <c r="X4" s="3">
        <f>J4*('Inputs'!$B$66*'Inputs'!$B$17+'Inputs'!$B$10*'Inputs'!$B$11+'Inputs'!$B$12*'Inputs'!$B$13+'Inputs'!$B$14*'Inputs'!$B$15+'Inputs'!$B$67+'Inputs'!$B$16)/12</f>
        <v>10833.333333333334</v>
      </c>
      <c r="Y4" s="3">
        <f>MAX(Y3,ROUNDUP((J4+K4)/'Inputs'!$B$9,0))</f>
        <v>1</v>
      </c>
      <c r="Z4" s="3">
        <f>Y4*'Inputs'!$B$8/12</f>
        <v>15000.0</v>
      </c>
      <c r="AA4" s="3">
        <f>W4+X4+Z4</f>
        <v>44166.666666666664</v>
      </c>
      <c r="AB4" s="3">
        <f>R4*('Inputs'!$B$19+'Inputs'!$B$20*'Inputs'!$B$21+'Inputs'!$B$22*'Inputs'!$B$11+'Inputs'!$B$23+'Inputs'!$B$24)</f>
        <v>0.0</v>
      </c>
      <c r="AC4" s="3">
        <f>U4*'Inputs'!$B$26</f>
        <v>0.0</v>
      </c>
      <c r="AD4" s="3">
        <f>AA4+AB4+AC4</f>
        <v>44166.666666666664</v>
      </c>
      <c r="AE4" s="3">
        <f>V4-AD4</f>
        <v>18333.333333333336</v>
      </c>
      <c r="AF4" s="3">
        <f>'Inputs'!$B$27/12</f>
        <v>15000.0</v>
      </c>
      <c r="AG4" s="3">
        <f>'Inputs'!$B$71/12</f>
        <v>62500.0</v>
      </c>
      <c r="AH4" s="3">
        <f>'Inputs'!$B$30/12</f>
        <v>10000.0</v>
      </c>
      <c r="AI4" s="3">
        <f>'Inputs'!$B$33/12</f>
        <v>5000.0</v>
      </c>
      <c r="AJ4" s="3">
        <f>'Inputs'!$B$36/12</f>
        <v>5000.0</v>
      </c>
      <c r="AK4" s="3">
        <f>MAX(1,ROUNDUP((SUM($D$2:$D$13)+0.5*SUM($E$2:$E$13))/'Inputs'!$B$40,0))</f>
        <v>1</v>
      </c>
      <c r="AL4" s="3">
        <f>AK4*'Inputs'!$B$39/12</f>
        <v>15000.0</v>
      </c>
      <c r="AM4" s="3">
        <f>D4*'Inputs'!$B$41+E4*'Inputs'!$B$42</f>
        <v>5000</v>
      </c>
      <c r="AN4" s="3">
        <f>0</f>
        <v>0</v>
      </c>
      <c r="AO4" s="3">
        <f>AF4+AG4+AH4+AI4+AJ4+AL4+AM4+AN4</f>
        <v>117500.0</v>
      </c>
      <c r="AP4" s="3">
        <f>AE4-AO4</f>
        <v>-99166.66666666666</v>
      </c>
      <c r="AQ4" s="3">
        <f>(D4+L4)*'Inputs'!$B$64/4</f>
        <v>0.0</v>
      </c>
      <c r="AR4" s="3">
        <f>(E4*'Inputs'!$B$25+R4*(1-'Inputs'!$B$25))*'Inputs'!$B$65</f>
        <v>55000.0</v>
      </c>
      <c r="AS4" s="3">
        <f>AQ4+AR4+U4</f>
        <v>55000.0</v>
      </c>
      <c r="AT4" s="3">
        <f>IF(A4&gt;'Inputs'!$B$5,INDEX($AS$2:$AS$37,MAX(1,A4-'Inputs'!$B$5)),0)</f>
        <v>187500.0</v>
      </c>
      <c r="AU4" s="3">
        <f>'Inputs'!$B$66*(O4*'Inputs'!$B$53+P4*(1-'Inputs'!$B$53)/3+Q4/4)</f>
        <v>0.0</v>
      </c>
      <c r="AV4" s="3">
        <f>(E4+E3)*('Inputs'!$B$19+'Inputs'!$B$20*'Inputs'!$B$21+'Inputs'!$B$22*'Inputs'!$B$11+'Inputs'!$B$23+'Inputs'!$B$24)/2</f>
        <v>47083.333333333336</v>
      </c>
      <c r="AW4" s="3">
        <f>AU4+X4+Z4+AV4+AC4+AO4</f>
        <v>190416.6666666667</v>
      </c>
      <c r="AX4" s="3">
        <f>AT4-AW4</f>
        <v>-2916.666666666686</v>
      </c>
      <c r="AY4" s="3">
        <f>AY3+AX4</f>
        <v>-503116.6666666667</v>
      </c>
      <c r="AZ4" s="3">
        <f>AZ3+AS4-AT4</f>
        <v>55000.0</v>
      </c>
      <c r="BA4" s="3">
        <f>BA3+AQ4+AR4-S4-T4</f>
        <v>180000.0</v>
      </c>
      <c r="BB4" s="3">
        <f>BB3+AU4-W4</f>
        <v>71866.66666666667</v>
      </c>
      <c r="BC4" s="3">
        <f>BC3+AV4-AB4</f>
        <v>47083.333333333336</v>
      </c>
      <c r="BD4" s="3">
        <f>J4*'Inputs'!$B$64</f>
        <v>750000.0</v>
      </c>
      <c r="BE4" s="3">
        <f>(J4+K4)/'Inputs'!$B$9</f>
        <v>0.5</v>
      </c>
      <c r="BF4" s="3">
        <f>J4*'Inputs'!$B$12</f>
        <v>0.2</v>
      </c>
      <c r="BG4" s="3">
        <f>J4*'Inputs'!$B$14</f>
        <v>0.2</v>
      </c>
      <c r="BH4" s="3">
        <f>J4*'Inputs'!$B$10/12+E4*'Inputs'!$B$22</f>
        <v>6.499999999999999</v>
      </c>
      <c r="BI4" s="3">
        <f>'Inputs'!$B$6*'Inputs'!$B$7*(F4*('Inputs'!$B$49+'Inputs'!$B$47)+L4*('Inputs'!$B$49+'Inputs'!$B$48))+E4*'Inputs'!$B$46*'Inputs'!$B$18</f>
        <v>4160.0</v>
      </c>
    </row>
    <row r="5" spans="1:61">
      <c r="A5">
        <v>4</v>
      </c>
      <c r="B5" t="s">
        <v>179</v>
      </c>
      <c r="C5">
        <v>1</v>
      </c>
      <c r="D5" s="2">
        <v>0</v>
      </c>
      <c r="E5" s="2">
        <v>1</v>
      </c>
      <c r="F5" s="3">
        <f>IF(A5&gt;'Inputs'!$B$3,INDEX($D$2:$D$37,MAX(1,A5-'Inputs'!$B$3)),0)</f>
        <v>0</v>
      </c>
      <c r="G5" s="3">
        <f>0+0</f>
        <v>0</v>
      </c>
      <c r="H5" s="3">
        <f>G5*(1-'Inputs'!$B$68)</f>
        <v>0.0</v>
      </c>
      <c r="I5" s="3">
        <f>G5-H5</f>
        <v>0.0</v>
      </c>
      <c r="J5" s="3">
        <f>J4+F5-I5</f>
        <v>1.0</v>
      </c>
      <c r="K5" s="3">
        <f>SUM($D$2:D5)-SUM($F$2:F5)</f>
        <v>0</v>
      </c>
      <c r="L5" s="3">
        <f>F2+H2+0+0+0+0+H5</f>
        <v>0.0</v>
      </c>
      <c r="M5" s="3">
        <f>F5+L5</f>
        <v>0.0</v>
      </c>
      <c r="N5" s="3">
        <f>IF(A5+1&gt;'Inputs'!$B$3,INDEX($D$2:$D$37,MAX(1,A5+1-'Inputs'!$B$3)),0)+F3+H3+0+0+0+0+(0+0)*(1-'Inputs'!$B$68)</f>
        <v>0.0</v>
      </c>
      <c r="O5" s="3">
        <f>IF(A5+1&gt;'Inputs'!$B$3,INDEX($D$2:$D$37,MAX(1,A5+1-'Inputs'!$B$3)),0)</f>
        <v>0</v>
      </c>
      <c r="P5" s="3">
        <f>F3+0+0</f>
        <v>0</v>
      </c>
      <c r="Q5" s="3">
        <f>H3+0+0+(0+0)*(1-'Inputs'!$B$68)</f>
        <v>0.0</v>
      </c>
      <c r="R5" s="3">
        <f>IF(A5&gt;'Inputs'!$B$4,INDEX($E$2:$E$37,MAX(1,A5-'Inputs'!$B$4)),0)</f>
        <v>0</v>
      </c>
      <c r="S5" s="3">
        <f>J5*'Inputs'!$B$64/12</f>
        <v>62500.0</v>
      </c>
      <c r="T5" s="3">
        <f>R5*'Inputs'!$B$65</f>
        <v>0</v>
      </c>
      <c r="U5" s="3">
        <f>S5*IF(C5&gt;1,'Inputs'!$B$70,0)</f>
        <v>0.0</v>
      </c>
      <c r="V5" s="3">
        <f>SUM(S5:U5)</f>
        <v>62500.0</v>
      </c>
      <c r="W5" s="3">
        <f>J5*'Inputs'!$B$66/12</f>
        <v>18333.333333333332</v>
      </c>
      <c r="X5" s="3">
        <f>J5*('Inputs'!$B$66*'Inputs'!$B$17+'Inputs'!$B$10*'Inputs'!$B$11+'Inputs'!$B$12*'Inputs'!$B$13+'Inputs'!$B$14*'Inputs'!$B$15+'Inputs'!$B$67+'Inputs'!$B$16)/12</f>
        <v>10833.333333333334</v>
      </c>
      <c r="Y5" s="3">
        <f>MAX(Y4,ROUNDUP((J5+K5)/'Inputs'!$B$9,0))</f>
        <v>1</v>
      </c>
      <c r="Z5" s="3">
        <f>Y5*'Inputs'!$B$8/12</f>
        <v>15000.0</v>
      </c>
      <c r="AA5" s="3">
        <f>W5+X5+Z5</f>
        <v>44166.666666666664</v>
      </c>
      <c r="AB5" s="3">
        <f>R5*('Inputs'!$B$19+'Inputs'!$B$20*'Inputs'!$B$21+'Inputs'!$B$22*'Inputs'!$B$11+'Inputs'!$B$23+'Inputs'!$B$24)</f>
        <v>0.0</v>
      </c>
      <c r="AC5" s="3">
        <f>U5*'Inputs'!$B$26</f>
        <v>0.0</v>
      </c>
      <c r="AD5" s="3">
        <f>AA5+AB5+AC5</f>
        <v>44166.666666666664</v>
      </c>
      <c r="AE5" s="3">
        <f>V5-AD5</f>
        <v>18333.333333333336</v>
      </c>
      <c r="AF5" s="3">
        <f>'Inputs'!$B$27/12</f>
        <v>15000.0</v>
      </c>
      <c r="AG5" s="3">
        <f>'Inputs'!$B$71/12</f>
        <v>62500.0</v>
      </c>
      <c r="AH5" s="3">
        <f>'Inputs'!$B$30/12</f>
        <v>10000.0</v>
      </c>
      <c r="AI5" s="3">
        <f>'Inputs'!$B$33/12</f>
        <v>5000.0</v>
      </c>
      <c r="AJ5" s="3">
        <f>'Inputs'!$B$36/12</f>
        <v>5000.0</v>
      </c>
      <c r="AK5" s="3">
        <f>MAX(1,ROUNDUP((SUM($D$2:$D$13)+0.5*SUM($E$2:$E$13))/'Inputs'!$B$40,0))</f>
        <v>1</v>
      </c>
      <c r="AL5" s="3">
        <f>AK5*'Inputs'!$B$39/12</f>
        <v>15000.0</v>
      </c>
      <c r="AM5" s="3">
        <f>D5*'Inputs'!$B$41+E5*'Inputs'!$B$42</f>
        <v>5000</v>
      </c>
      <c r="AN5" s="3">
        <f>0</f>
        <v>0</v>
      </c>
      <c r="AO5" s="3">
        <f>AF5+AG5+AH5+AI5+AJ5+AL5+AM5+AN5</f>
        <v>117500.0</v>
      </c>
      <c r="AP5" s="3">
        <f>AE5-AO5</f>
        <v>-99166.66666666666</v>
      </c>
      <c r="AQ5" s="3">
        <f>(D5+L5)*'Inputs'!$B$64/4</f>
        <v>0.0</v>
      </c>
      <c r="AR5" s="3">
        <f>(E5*'Inputs'!$B$25+R5*(1-'Inputs'!$B$25))*'Inputs'!$B$65</f>
        <v>55000.0</v>
      </c>
      <c r="AS5" s="3">
        <f>AQ5+AR5+U5</f>
        <v>55000.0</v>
      </c>
      <c r="AT5" s="3">
        <f>IF(A5&gt;'Inputs'!$B$5,INDEX($AS$2:$AS$37,MAX(1,A5-'Inputs'!$B$5)),0)</f>
        <v>0.0</v>
      </c>
      <c r="AU5" s="3">
        <f>'Inputs'!$B$66*(O5*'Inputs'!$B$53+P5*(1-'Inputs'!$B$53)/3+Q5/4)</f>
        <v>0.0</v>
      </c>
      <c r="AV5" s="3">
        <f>(E5+E4)*('Inputs'!$B$19+'Inputs'!$B$20*'Inputs'!$B$21+'Inputs'!$B$22*'Inputs'!$B$11+'Inputs'!$B$23+'Inputs'!$B$24)/2</f>
        <v>94166.66666666667</v>
      </c>
      <c r="AW5" s="3">
        <f>AU5+X5+Z5+AV5+AC5+AO5</f>
        <v>237500.0</v>
      </c>
      <c r="AX5" s="3">
        <f>AT5-AW5</f>
        <v>-237500.0</v>
      </c>
      <c r="AY5" s="3">
        <f>AY4+AX5</f>
        <v>-740616.6666666667</v>
      </c>
      <c r="AZ5" s="3">
        <f>AZ4+AS5-AT5</f>
        <v>110000.0</v>
      </c>
      <c r="BA5" s="3">
        <f>BA4+AQ5+AR5-S5-T5</f>
        <v>172500.0</v>
      </c>
      <c r="BB5" s="3">
        <f>BB4+AU5-W5</f>
        <v>53533.33333333334</v>
      </c>
      <c r="BC5" s="3">
        <f>BC4+AV5-AB5</f>
        <v>141250.0</v>
      </c>
      <c r="BD5" s="3">
        <f>J5*'Inputs'!$B$64</f>
        <v>750000.0</v>
      </c>
      <c r="BE5" s="3">
        <f>(J5+K5)/'Inputs'!$B$9</f>
        <v>0.5</v>
      </c>
      <c r="BF5" s="3">
        <f>J5*'Inputs'!$B$12</f>
        <v>0.2</v>
      </c>
      <c r="BG5" s="3">
        <f>J5*'Inputs'!$B$14</f>
        <v>0.2</v>
      </c>
      <c r="BH5" s="3">
        <f>J5*'Inputs'!$B$10/12+E5*'Inputs'!$B$22</f>
        <v>6.499999999999999</v>
      </c>
      <c r="BI5" s="3">
        <f>'Inputs'!$B$6*'Inputs'!$B$7*(F5*('Inputs'!$B$49+'Inputs'!$B$47)+L5*('Inputs'!$B$49+'Inputs'!$B$48))+E5*'Inputs'!$B$46*'Inputs'!$B$18</f>
        <v>1760.0</v>
      </c>
    </row>
    <row r="6" spans="1:61">
      <c r="A6">
        <v>5</v>
      </c>
      <c r="B6" t="s">
        <v>180</v>
      </c>
      <c r="C6">
        <v>1</v>
      </c>
      <c r="D6" s="2">
        <v>0</v>
      </c>
      <c r="E6" s="2">
        <v>0</v>
      </c>
      <c r="F6" s="3">
        <f>IF(A6&gt;'Inputs'!$B$3,INDEX($D$2:$D$37,MAX(1,A6-'Inputs'!$B$3)),0)</f>
        <v>0</v>
      </c>
      <c r="G6" s="3">
        <f>0+0</f>
        <v>0</v>
      </c>
      <c r="H6" s="3">
        <f>G6*(1-'Inputs'!$B$68)</f>
        <v>0.0</v>
      </c>
      <c r="I6" s="3">
        <f>G6-H6</f>
        <v>0.0</v>
      </c>
      <c r="J6" s="3">
        <f>J5+F6-I6</f>
        <v>1.0</v>
      </c>
      <c r="K6" s="3">
        <f>SUM($D$2:D6)-SUM($F$2:F6)</f>
        <v>0</v>
      </c>
      <c r="L6" s="3">
        <f>F3+H3+0+0+0+0+H6</f>
        <v>0.0</v>
      </c>
      <c r="M6" s="3">
        <f>F6+L6</f>
        <v>0.0</v>
      </c>
      <c r="N6" s="3">
        <f>IF(A6+1&gt;'Inputs'!$B$3,INDEX($D$2:$D$37,MAX(1,A6+1-'Inputs'!$B$3)),0)+F4+H4+0+0+0+0+(0+0)*(1-'Inputs'!$B$68)</f>
        <v>1.0</v>
      </c>
      <c r="O6" s="3">
        <f>IF(A6+1&gt;'Inputs'!$B$3,INDEX($D$2:$D$37,MAX(1,A6+1-'Inputs'!$B$3)),0)</f>
        <v>0</v>
      </c>
      <c r="P6" s="3">
        <f>F4+0+0</f>
        <v>1</v>
      </c>
      <c r="Q6" s="3">
        <f>H4+0+0+(0+0)*(1-'Inputs'!$B$68)</f>
        <v>0.0</v>
      </c>
      <c r="R6" s="3">
        <f>IF(A6&gt;'Inputs'!$B$4,INDEX($E$2:$E$37,MAX(1,A6-'Inputs'!$B$4)),0)</f>
        <v>1</v>
      </c>
      <c r="S6" s="3">
        <f>J6*'Inputs'!$B$64/12</f>
        <v>62500.0</v>
      </c>
      <c r="T6" s="3">
        <f>R6*'Inputs'!$B$65</f>
        <v>110000</v>
      </c>
      <c r="U6" s="3">
        <f>S6*IF(C6&gt;1,'Inputs'!$B$70,0)</f>
        <v>0.0</v>
      </c>
      <c r="V6" s="3">
        <f>SUM(S6:U6)</f>
        <v>172500.0</v>
      </c>
      <c r="W6" s="3">
        <f>J6*'Inputs'!$B$66/12</f>
        <v>18333.333333333332</v>
      </c>
      <c r="X6" s="3">
        <f>J6*('Inputs'!$B$66*'Inputs'!$B$17+'Inputs'!$B$10*'Inputs'!$B$11+'Inputs'!$B$12*'Inputs'!$B$13+'Inputs'!$B$14*'Inputs'!$B$15+'Inputs'!$B$67+'Inputs'!$B$16)/12</f>
        <v>10833.333333333334</v>
      </c>
      <c r="Y6" s="3">
        <f>MAX(Y5,ROUNDUP((J6+K6)/'Inputs'!$B$9,0))</f>
        <v>1</v>
      </c>
      <c r="Z6" s="3">
        <f>Y6*'Inputs'!$B$8/12</f>
        <v>15000.0</v>
      </c>
      <c r="AA6" s="3">
        <f>W6+X6+Z6</f>
        <v>44166.666666666664</v>
      </c>
      <c r="AB6" s="3">
        <f>R6*('Inputs'!$B$19+'Inputs'!$B$20*'Inputs'!$B$21+'Inputs'!$B$22*'Inputs'!$B$11+'Inputs'!$B$23+'Inputs'!$B$24)</f>
        <v>94166.66666666667</v>
      </c>
      <c r="AC6" s="3">
        <f>U6*'Inputs'!$B$26</f>
        <v>0.0</v>
      </c>
      <c r="AD6" s="3">
        <f>AA6+AB6+AC6</f>
        <v>138333.33333333334</v>
      </c>
      <c r="AE6" s="3">
        <f>V6-AD6</f>
        <v>34166.66666666666</v>
      </c>
      <c r="AF6" s="3">
        <f>'Inputs'!$B$27/12</f>
        <v>15000.0</v>
      </c>
      <c r="AG6" s="3">
        <f>'Inputs'!$B$71/12</f>
        <v>62500.0</v>
      </c>
      <c r="AH6" s="3">
        <f>'Inputs'!$B$30/12</f>
        <v>10000.0</v>
      </c>
      <c r="AI6" s="3">
        <f>'Inputs'!$B$33/12</f>
        <v>5000.0</v>
      </c>
      <c r="AJ6" s="3">
        <f>'Inputs'!$B$36/12</f>
        <v>5000.0</v>
      </c>
      <c r="AK6" s="3">
        <f>MAX(1,ROUNDUP((SUM($D$2:$D$13)+0.5*SUM($E$2:$E$13))/'Inputs'!$B$40,0))</f>
        <v>1</v>
      </c>
      <c r="AL6" s="3">
        <f>AK6*'Inputs'!$B$39/12</f>
        <v>15000.0</v>
      </c>
      <c r="AM6" s="3">
        <f>D6*'Inputs'!$B$41+E6*'Inputs'!$B$42</f>
        <v>0</v>
      </c>
      <c r="AN6" s="3">
        <f>0</f>
        <v>0</v>
      </c>
      <c r="AO6" s="3">
        <f>AF6+AG6+AH6+AI6+AJ6+AL6+AM6+AN6</f>
        <v>112500.0</v>
      </c>
      <c r="AP6" s="3">
        <f>AE6-AO6</f>
        <v>-78333.33333333334</v>
      </c>
      <c r="AQ6" s="3">
        <f>(D6+L6)*'Inputs'!$B$64/4</f>
        <v>0.0</v>
      </c>
      <c r="AR6" s="3">
        <f>(E6*'Inputs'!$B$25+R6*(1-'Inputs'!$B$25))*'Inputs'!$B$65</f>
        <v>55000.0</v>
      </c>
      <c r="AS6" s="3">
        <f>AQ6+AR6+U6</f>
        <v>55000.0</v>
      </c>
      <c r="AT6" s="3">
        <f>IF(A6&gt;'Inputs'!$B$5,INDEX($AS$2:$AS$37,MAX(1,A6-'Inputs'!$B$5)),0)</f>
        <v>55000.0</v>
      </c>
      <c r="AU6" s="3">
        <f>'Inputs'!$B$66*(O6*'Inputs'!$B$53+P6*(1-'Inputs'!$B$53)/3+Q6/4)</f>
        <v>43266.66666666667</v>
      </c>
      <c r="AV6" s="3">
        <f>(E6+E5)*('Inputs'!$B$19+'Inputs'!$B$20*'Inputs'!$B$21+'Inputs'!$B$22*'Inputs'!$B$11+'Inputs'!$B$23+'Inputs'!$B$24)/2</f>
        <v>47083.333333333336</v>
      </c>
      <c r="AW6" s="3">
        <f>AU6+X6+Z6+AV6+AC6+AO6</f>
        <v>228683.33333333334</v>
      </c>
      <c r="AX6" s="3">
        <f>AT6-AW6</f>
        <v>-173683.33333333334</v>
      </c>
      <c r="AY6" s="3">
        <f>AY5+AX6</f>
        <v>-914300.0000000001</v>
      </c>
      <c r="AZ6" s="3">
        <f>AZ5+AS6-AT6</f>
        <v>110000.0</v>
      </c>
      <c r="BA6" s="3">
        <f>BA5+AQ6+AR6-S6-T6</f>
        <v>55000.0</v>
      </c>
      <c r="BB6" s="3">
        <f>BB5+AU6-W6</f>
        <v>78466.66666666669</v>
      </c>
      <c r="BC6" s="3">
        <f>BC5+AV6-AB6</f>
        <v>94166.66666666667</v>
      </c>
      <c r="BD6" s="3">
        <f>J6*'Inputs'!$B$64</f>
        <v>750000.0</v>
      </c>
      <c r="BE6" s="3">
        <f>(J6+K6)/'Inputs'!$B$9</f>
        <v>0.5</v>
      </c>
      <c r="BF6" s="3">
        <f>J6*'Inputs'!$B$12</f>
        <v>0.2</v>
      </c>
      <c r="BG6" s="3">
        <f>J6*'Inputs'!$B$14</f>
        <v>0.2</v>
      </c>
      <c r="BH6" s="3">
        <f>J6*'Inputs'!$B$10/12+E6*'Inputs'!$B$22</f>
        <v>0.8333333333333334</v>
      </c>
      <c r="BI6" s="3">
        <f>'Inputs'!$B$6*'Inputs'!$B$7*(F6*('Inputs'!$B$49+'Inputs'!$B$47)+L6*('Inputs'!$B$49+'Inputs'!$B$48))+E6*'Inputs'!$B$46*'Inputs'!$B$18</f>
        <v>0.0</v>
      </c>
    </row>
    <row r="7" spans="1:61">
      <c r="A7">
        <v>6</v>
      </c>
      <c r="B7" t="s">
        <v>181</v>
      </c>
      <c r="C7">
        <v>1</v>
      </c>
      <c r="D7" s="2">
        <v>0</v>
      </c>
      <c r="E7" s="2">
        <v>0</v>
      </c>
      <c r="F7" s="3">
        <f>IF(A7&gt;'Inputs'!$B$3,INDEX($D$2:$D$37,MAX(1,A7-'Inputs'!$B$3)),0)</f>
        <v>0</v>
      </c>
      <c r="G7" s="3">
        <f>0+0</f>
        <v>0</v>
      </c>
      <c r="H7" s="3">
        <f>G7*(1-'Inputs'!$B$68)</f>
        <v>0.0</v>
      </c>
      <c r="I7" s="3">
        <f>G7-H7</f>
        <v>0.0</v>
      </c>
      <c r="J7" s="3">
        <f>J6+F7-I7</f>
        <v>1.0</v>
      </c>
      <c r="K7" s="3">
        <f>SUM($D$2:D7)-SUM($F$2:F7)</f>
        <v>0</v>
      </c>
      <c r="L7" s="3">
        <f>F4+H4+0+0+0+0+H7</f>
        <v>1.0</v>
      </c>
      <c r="M7" s="3">
        <f>F7+L7</f>
        <v>1.0</v>
      </c>
      <c r="N7" s="3">
        <f>IF(A7+1&gt;'Inputs'!$B$3,INDEX($D$2:$D$37,MAX(1,A7+1-'Inputs'!$B$3)),0)+F5+H5+F2+H2+0+0+(0+0)*(1-'Inputs'!$B$68)</f>
        <v>0.0</v>
      </c>
      <c r="O7" s="3">
        <f>IF(A7+1&gt;'Inputs'!$B$3,INDEX($D$2:$D$37,MAX(1,A7+1-'Inputs'!$B$3)),0)</f>
        <v>0</v>
      </c>
      <c r="P7" s="3">
        <f>F5+F2+0</f>
        <v>0</v>
      </c>
      <c r="Q7" s="3">
        <f>H5+H2+0+(0+0)*(1-'Inputs'!$B$68)</f>
        <v>0.0</v>
      </c>
      <c r="R7" s="3">
        <f>IF(A7&gt;'Inputs'!$B$4,INDEX($E$2:$E$37,MAX(1,A7-'Inputs'!$B$4)),0)</f>
        <v>1</v>
      </c>
      <c r="S7" s="3">
        <f>J7*'Inputs'!$B$64/12</f>
        <v>62500.0</v>
      </c>
      <c r="T7" s="3">
        <f>R7*'Inputs'!$B$65</f>
        <v>110000</v>
      </c>
      <c r="U7" s="3">
        <f>S7*IF(C7&gt;1,'Inputs'!$B$70,0)</f>
        <v>0.0</v>
      </c>
      <c r="V7" s="3">
        <f>SUM(S7:U7)</f>
        <v>172500.0</v>
      </c>
      <c r="W7" s="3">
        <f>J7*'Inputs'!$B$66/12</f>
        <v>18333.333333333332</v>
      </c>
      <c r="X7" s="3">
        <f>J7*('Inputs'!$B$66*'Inputs'!$B$17+'Inputs'!$B$10*'Inputs'!$B$11+'Inputs'!$B$12*'Inputs'!$B$13+'Inputs'!$B$14*'Inputs'!$B$15+'Inputs'!$B$67+'Inputs'!$B$16)/12</f>
        <v>10833.333333333334</v>
      </c>
      <c r="Y7" s="3">
        <f>MAX(Y6,ROUNDUP((J7+K7)/'Inputs'!$B$9,0))</f>
        <v>1</v>
      </c>
      <c r="Z7" s="3">
        <f>Y7*'Inputs'!$B$8/12</f>
        <v>15000.0</v>
      </c>
      <c r="AA7" s="3">
        <f>W7+X7+Z7</f>
        <v>44166.666666666664</v>
      </c>
      <c r="AB7" s="3">
        <f>R7*('Inputs'!$B$19+'Inputs'!$B$20*'Inputs'!$B$21+'Inputs'!$B$22*'Inputs'!$B$11+'Inputs'!$B$23+'Inputs'!$B$24)</f>
        <v>94166.66666666667</v>
      </c>
      <c r="AC7" s="3">
        <f>U7*'Inputs'!$B$26</f>
        <v>0.0</v>
      </c>
      <c r="AD7" s="3">
        <f>AA7+AB7+AC7</f>
        <v>138333.33333333334</v>
      </c>
      <c r="AE7" s="3">
        <f>V7-AD7</f>
        <v>34166.66666666666</v>
      </c>
      <c r="AF7" s="3">
        <f>'Inputs'!$B$27/12</f>
        <v>15000.0</v>
      </c>
      <c r="AG7" s="3">
        <f>'Inputs'!$B$71/12</f>
        <v>62500.0</v>
      </c>
      <c r="AH7" s="3">
        <f>'Inputs'!$B$30/12</f>
        <v>10000.0</v>
      </c>
      <c r="AI7" s="3">
        <f>'Inputs'!$B$33/12</f>
        <v>5000.0</v>
      </c>
      <c r="AJ7" s="3">
        <f>'Inputs'!$B$36/12</f>
        <v>5000.0</v>
      </c>
      <c r="AK7" s="3">
        <f>MAX(1,ROUNDUP((SUM($D$2:$D$13)+0.5*SUM($E$2:$E$13))/'Inputs'!$B$40,0))</f>
        <v>1</v>
      </c>
      <c r="AL7" s="3">
        <f>AK7*'Inputs'!$B$39/12</f>
        <v>15000.0</v>
      </c>
      <c r="AM7" s="3">
        <f>D7*'Inputs'!$B$41+E7*'Inputs'!$B$42</f>
        <v>0</v>
      </c>
      <c r="AN7" s="3">
        <f>0</f>
        <v>0</v>
      </c>
      <c r="AO7" s="3">
        <f>AF7+AG7+AH7+AI7+AJ7+AL7+AM7+AN7</f>
        <v>112500.0</v>
      </c>
      <c r="AP7" s="3">
        <f>AE7-AO7</f>
        <v>-78333.33333333334</v>
      </c>
      <c r="AQ7" s="3">
        <f>(D7+L7)*'Inputs'!$B$64/4</f>
        <v>187500.0</v>
      </c>
      <c r="AR7" s="3">
        <f>(E7*'Inputs'!$B$25+R7*(1-'Inputs'!$B$25))*'Inputs'!$B$65</f>
        <v>55000.0</v>
      </c>
      <c r="AS7" s="3">
        <f>AQ7+AR7+U7</f>
        <v>242500.0</v>
      </c>
      <c r="AT7" s="3">
        <f>IF(A7&gt;'Inputs'!$B$5,INDEX($AS$2:$AS$37,MAX(1,A7-'Inputs'!$B$5)),0)</f>
        <v>55000.0</v>
      </c>
      <c r="AU7" s="3">
        <f>'Inputs'!$B$66*(O7*'Inputs'!$B$53+P7*(1-'Inputs'!$B$53)/3+Q7/4)</f>
        <v>0.0</v>
      </c>
      <c r="AV7" s="3">
        <f>(E7+E6)*('Inputs'!$B$19+'Inputs'!$B$20*'Inputs'!$B$21+'Inputs'!$B$22*'Inputs'!$B$11+'Inputs'!$B$23+'Inputs'!$B$24)/2</f>
        <v>0.0</v>
      </c>
      <c r="AW7" s="3">
        <f>AU7+X7+Z7+AV7+AC7+AO7</f>
        <v>138333.33333333334</v>
      </c>
      <c r="AX7" s="3">
        <f>AT7-AW7</f>
        <v>-83333.33333333334</v>
      </c>
      <c r="AY7" s="3">
        <f>AY6+AX7</f>
        <v>-997633.3333333335</v>
      </c>
      <c r="AZ7" s="3">
        <f>AZ6+AS7-AT7</f>
        <v>297500.0</v>
      </c>
      <c r="BA7" s="3">
        <f>BA6+AQ7+AR7-S7-T7</f>
        <v>125000.0</v>
      </c>
      <c r="BB7" s="3">
        <f>BB6+AU7-W7</f>
        <v>60133.33333333336</v>
      </c>
      <c r="BC7" s="3">
        <f>BC6+AV7-AB7</f>
        <v>0.0</v>
      </c>
      <c r="BD7" s="3">
        <f>J7*'Inputs'!$B$64</f>
        <v>750000.0</v>
      </c>
      <c r="BE7" s="3">
        <f>(J7+K7)/'Inputs'!$B$9</f>
        <v>0.5</v>
      </c>
      <c r="BF7" s="3">
        <f>J7*'Inputs'!$B$12</f>
        <v>0.2</v>
      </c>
      <c r="BG7" s="3">
        <f>J7*'Inputs'!$B$14</f>
        <v>0.2</v>
      </c>
      <c r="BH7" s="3">
        <f>J7*'Inputs'!$B$10/12+E7*'Inputs'!$B$22</f>
        <v>0.8333333333333334</v>
      </c>
      <c r="BI7" s="3">
        <f>'Inputs'!$B$6*'Inputs'!$B$7*(F7*('Inputs'!$B$49+'Inputs'!$B$47)+L7*('Inputs'!$B$49+'Inputs'!$B$48))+E7*'Inputs'!$B$46*'Inputs'!$B$18</f>
        <v>1920.0</v>
      </c>
    </row>
    <row r="8" spans="1:61">
      <c r="A8">
        <v>7</v>
      </c>
      <c r="B8" t="s">
        <v>182</v>
      </c>
      <c r="C8">
        <v>1</v>
      </c>
      <c r="D8" s="2">
        <v>0</v>
      </c>
      <c r="E8" s="2">
        <v>0</v>
      </c>
      <c r="F8" s="3">
        <f>IF(A8&gt;'Inputs'!$B$3,INDEX($D$2:$D$37,MAX(1,A8-'Inputs'!$B$3)),0)</f>
        <v>0</v>
      </c>
      <c r="G8" s="3">
        <f>0+0</f>
        <v>0</v>
      </c>
      <c r="H8" s="3">
        <f>G8*(1-'Inputs'!$B$68)</f>
        <v>0.0</v>
      </c>
      <c r="I8" s="3">
        <f>G8-H8</f>
        <v>0.0</v>
      </c>
      <c r="J8" s="3">
        <f>J7+F8-I8</f>
        <v>1.0</v>
      </c>
      <c r="K8" s="3">
        <f>SUM($D$2:D8)-SUM($F$2:F8)</f>
        <v>0</v>
      </c>
      <c r="L8" s="3">
        <f>F5+H5+F2+H2+0+0+H8</f>
        <v>0.0</v>
      </c>
      <c r="M8" s="3">
        <f>F8+L8</f>
        <v>0.0</v>
      </c>
      <c r="N8" s="3">
        <f>IF(A8+1&gt;'Inputs'!$B$3,INDEX($D$2:$D$37,MAX(1,A8+1-'Inputs'!$B$3)),0)+F6+H6+F3+H3+0+0+(0+0)*(1-'Inputs'!$B$68)</f>
        <v>0.0</v>
      </c>
      <c r="O8" s="3">
        <f>IF(A8+1&gt;'Inputs'!$B$3,INDEX($D$2:$D$37,MAX(1,A8+1-'Inputs'!$B$3)),0)</f>
        <v>0</v>
      </c>
      <c r="P8" s="3">
        <f>F6+F3+0</f>
        <v>0</v>
      </c>
      <c r="Q8" s="3">
        <f>H6+H3+0+(0+0)*(1-'Inputs'!$B$68)</f>
        <v>0.0</v>
      </c>
      <c r="R8" s="3">
        <f>IF(A8&gt;'Inputs'!$B$4,INDEX($E$2:$E$37,MAX(1,A8-'Inputs'!$B$4)),0)</f>
        <v>0</v>
      </c>
      <c r="S8" s="3">
        <f>J8*'Inputs'!$B$64/12</f>
        <v>62500.0</v>
      </c>
      <c r="T8" s="3">
        <f>R8*'Inputs'!$B$65</f>
        <v>0</v>
      </c>
      <c r="U8" s="3">
        <f>S8*IF(C8&gt;1,'Inputs'!$B$70,0)</f>
        <v>0.0</v>
      </c>
      <c r="V8" s="3">
        <f>SUM(S8:U8)</f>
        <v>62500.0</v>
      </c>
      <c r="W8" s="3">
        <f>J8*'Inputs'!$B$66/12</f>
        <v>18333.333333333332</v>
      </c>
      <c r="X8" s="3">
        <f>J8*('Inputs'!$B$66*'Inputs'!$B$17+'Inputs'!$B$10*'Inputs'!$B$11+'Inputs'!$B$12*'Inputs'!$B$13+'Inputs'!$B$14*'Inputs'!$B$15+'Inputs'!$B$67+'Inputs'!$B$16)/12</f>
        <v>10833.333333333334</v>
      </c>
      <c r="Y8" s="3">
        <f>MAX(Y7,ROUNDUP((J8+K8)/'Inputs'!$B$9,0))</f>
        <v>1</v>
      </c>
      <c r="Z8" s="3">
        <f>Y8*'Inputs'!$B$8/12</f>
        <v>15000.0</v>
      </c>
      <c r="AA8" s="3">
        <f>W8+X8+Z8</f>
        <v>44166.666666666664</v>
      </c>
      <c r="AB8" s="3">
        <f>R8*('Inputs'!$B$19+'Inputs'!$B$20*'Inputs'!$B$21+'Inputs'!$B$22*'Inputs'!$B$11+'Inputs'!$B$23+'Inputs'!$B$24)</f>
        <v>0.0</v>
      </c>
      <c r="AC8" s="3">
        <f>U8*'Inputs'!$B$26</f>
        <v>0.0</v>
      </c>
      <c r="AD8" s="3">
        <f>AA8+AB8+AC8</f>
        <v>44166.666666666664</v>
      </c>
      <c r="AE8" s="3">
        <f>V8-AD8</f>
        <v>18333.333333333336</v>
      </c>
      <c r="AF8" s="3">
        <f>'Inputs'!$B$27/12</f>
        <v>15000.0</v>
      </c>
      <c r="AG8" s="3">
        <f>'Inputs'!$B$71/12</f>
        <v>62500.0</v>
      </c>
      <c r="AH8" s="3">
        <f>'Inputs'!$B$30/12</f>
        <v>10000.0</v>
      </c>
      <c r="AI8" s="3">
        <f>'Inputs'!$B$33/12</f>
        <v>5000.0</v>
      </c>
      <c r="AJ8" s="3">
        <f>'Inputs'!$B$36/12</f>
        <v>5000.0</v>
      </c>
      <c r="AK8" s="3">
        <f>MAX(1,ROUNDUP((SUM($D$2:$D$13)+0.5*SUM($E$2:$E$13))/'Inputs'!$B$40,0))</f>
        <v>1</v>
      </c>
      <c r="AL8" s="3">
        <f>AK8*'Inputs'!$B$39/12</f>
        <v>15000.0</v>
      </c>
      <c r="AM8" s="3">
        <f>D8*'Inputs'!$B$41+E8*'Inputs'!$B$42</f>
        <v>0</v>
      </c>
      <c r="AN8" s="3">
        <f>0</f>
        <v>0</v>
      </c>
      <c r="AO8" s="3">
        <f>AF8+AG8+AH8+AI8+AJ8+AL8+AM8+AN8</f>
        <v>112500.0</v>
      </c>
      <c r="AP8" s="3">
        <f>AE8-AO8</f>
        <v>-94166.66666666666</v>
      </c>
      <c r="AQ8" s="3">
        <f>(D8+L8)*'Inputs'!$B$64/4</f>
        <v>0.0</v>
      </c>
      <c r="AR8" s="3">
        <f>(E8*'Inputs'!$B$25+R8*(1-'Inputs'!$B$25))*'Inputs'!$B$65</f>
        <v>0.0</v>
      </c>
      <c r="AS8" s="3">
        <f>AQ8+AR8+U8</f>
        <v>0.0</v>
      </c>
      <c r="AT8" s="3">
        <f>IF(A8&gt;'Inputs'!$B$5,INDEX($AS$2:$AS$37,MAX(1,A8-'Inputs'!$B$5)),0)</f>
        <v>55000.0</v>
      </c>
      <c r="AU8" s="3">
        <f>'Inputs'!$B$66*(O8*'Inputs'!$B$53+P8*(1-'Inputs'!$B$53)/3+Q8/4)</f>
        <v>0.0</v>
      </c>
      <c r="AV8" s="3">
        <f>(E8+E7)*('Inputs'!$B$19+'Inputs'!$B$20*'Inputs'!$B$21+'Inputs'!$B$22*'Inputs'!$B$11+'Inputs'!$B$23+'Inputs'!$B$24)/2</f>
        <v>0.0</v>
      </c>
      <c r="AW8" s="3">
        <f>AU8+X8+Z8+AV8+AC8+AO8</f>
        <v>138333.33333333334</v>
      </c>
      <c r="AX8" s="3">
        <f>AT8-AW8</f>
        <v>-83333.33333333334</v>
      </c>
      <c r="AY8" s="3">
        <f>AY7+AX8</f>
        <v>-1080966.6666666667</v>
      </c>
      <c r="AZ8" s="3">
        <f>AZ7+AS8-AT8</f>
        <v>242500.0</v>
      </c>
      <c r="BA8" s="3">
        <f>BA7+AQ8+AR8-S8-T8</f>
        <v>62500.0</v>
      </c>
      <c r="BB8" s="3">
        <f>BB7+AU8-W8</f>
        <v>41800.00000000003</v>
      </c>
      <c r="BC8" s="3">
        <f>BC7+AV8-AB8</f>
        <v>0.0</v>
      </c>
      <c r="BD8" s="3">
        <f>J8*'Inputs'!$B$64</f>
        <v>750000.0</v>
      </c>
      <c r="BE8" s="3">
        <f>(J8+K8)/'Inputs'!$B$9</f>
        <v>0.5</v>
      </c>
      <c r="BF8" s="3">
        <f>J8*'Inputs'!$B$12</f>
        <v>0.2</v>
      </c>
      <c r="BG8" s="3">
        <f>J8*'Inputs'!$B$14</f>
        <v>0.2</v>
      </c>
      <c r="BH8" s="3">
        <f>J8*'Inputs'!$B$10/12+E8*'Inputs'!$B$22</f>
        <v>0.8333333333333334</v>
      </c>
      <c r="BI8" s="3">
        <f>'Inputs'!$B$6*'Inputs'!$B$7*(F8*('Inputs'!$B$49+'Inputs'!$B$47)+L8*('Inputs'!$B$49+'Inputs'!$B$48))+E8*'Inputs'!$B$46*'Inputs'!$B$18</f>
        <v>0.0</v>
      </c>
    </row>
    <row r="9" spans="1:61">
      <c r="A9">
        <v>8</v>
      </c>
      <c r="B9" t="s">
        <v>183</v>
      </c>
      <c r="C9">
        <v>1</v>
      </c>
      <c r="D9" s="2">
        <v>1</v>
      </c>
      <c r="E9" s="2">
        <v>1</v>
      </c>
      <c r="F9" s="3">
        <f>IF(A9&gt;'Inputs'!$B$3,INDEX($D$2:$D$37,MAX(1,A9-'Inputs'!$B$3)),0)</f>
        <v>0</v>
      </c>
      <c r="G9" s="3">
        <f>0+0</f>
        <v>0</v>
      </c>
      <c r="H9" s="3">
        <f>G9*(1-'Inputs'!$B$68)</f>
        <v>0.0</v>
      </c>
      <c r="I9" s="3">
        <f>G9-H9</f>
        <v>0.0</v>
      </c>
      <c r="J9" s="3">
        <f>J8+F9-I9</f>
        <v>1.0</v>
      </c>
      <c r="K9" s="3">
        <f>SUM($D$2:D9)-SUM($F$2:F9)</f>
        <v>1</v>
      </c>
      <c r="L9" s="3">
        <f>F6+H6+F3+H3+0+0+H9</f>
        <v>0.0</v>
      </c>
      <c r="M9" s="3">
        <f>F9+L9</f>
        <v>0.0</v>
      </c>
      <c r="N9" s="3">
        <f>IF(A9+1&gt;'Inputs'!$B$3,INDEX($D$2:$D$37,MAX(1,A9+1-'Inputs'!$B$3)),0)+F7+H7+F4+H4+0+0+(0+0)*(1-'Inputs'!$B$68)</f>
        <v>1.0</v>
      </c>
      <c r="O9" s="3">
        <f>IF(A9+1&gt;'Inputs'!$B$3,INDEX($D$2:$D$37,MAX(1,A9+1-'Inputs'!$B$3)),0)</f>
        <v>0</v>
      </c>
      <c r="P9" s="3">
        <f>F7+F4+0</f>
        <v>1</v>
      </c>
      <c r="Q9" s="3">
        <f>H7+H4+0+(0+0)*(1-'Inputs'!$B$68)</f>
        <v>0.0</v>
      </c>
      <c r="R9" s="3">
        <f>IF(A9&gt;'Inputs'!$B$4,INDEX($E$2:$E$37,MAX(1,A9-'Inputs'!$B$4)),0)</f>
        <v>0</v>
      </c>
      <c r="S9" s="3">
        <f>J9*'Inputs'!$B$64/12</f>
        <v>62500.0</v>
      </c>
      <c r="T9" s="3">
        <f>R9*'Inputs'!$B$65</f>
        <v>0</v>
      </c>
      <c r="U9" s="3">
        <f>S9*IF(C9&gt;1,'Inputs'!$B$70,0)</f>
        <v>0.0</v>
      </c>
      <c r="V9" s="3">
        <f>SUM(S9:U9)</f>
        <v>62500.0</v>
      </c>
      <c r="W9" s="3">
        <f>J9*'Inputs'!$B$66/12</f>
        <v>18333.333333333332</v>
      </c>
      <c r="X9" s="3">
        <f>J9*('Inputs'!$B$66*'Inputs'!$B$17+'Inputs'!$B$10*'Inputs'!$B$11+'Inputs'!$B$12*'Inputs'!$B$13+'Inputs'!$B$14*'Inputs'!$B$15+'Inputs'!$B$67+'Inputs'!$B$16)/12</f>
        <v>10833.333333333334</v>
      </c>
      <c r="Y9" s="3">
        <f>MAX(Y8,ROUNDUP((J9+K9)/'Inputs'!$B$9,0))</f>
        <v>1</v>
      </c>
      <c r="Z9" s="3">
        <f>Y9*'Inputs'!$B$8/12</f>
        <v>15000.0</v>
      </c>
      <c r="AA9" s="3">
        <f>W9+X9+Z9</f>
        <v>44166.666666666664</v>
      </c>
      <c r="AB9" s="3">
        <f>R9*('Inputs'!$B$19+'Inputs'!$B$20*'Inputs'!$B$21+'Inputs'!$B$22*'Inputs'!$B$11+'Inputs'!$B$23+'Inputs'!$B$24)</f>
        <v>0.0</v>
      </c>
      <c r="AC9" s="3">
        <f>U9*'Inputs'!$B$26</f>
        <v>0.0</v>
      </c>
      <c r="AD9" s="3">
        <f>AA9+AB9+AC9</f>
        <v>44166.666666666664</v>
      </c>
      <c r="AE9" s="3">
        <f>V9-AD9</f>
        <v>18333.333333333336</v>
      </c>
      <c r="AF9" s="3">
        <f>'Inputs'!$B$27/12</f>
        <v>15000.0</v>
      </c>
      <c r="AG9" s="3">
        <f>'Inputs'!$B$71/12</f>
        <v>62500.0</v>
      </c>
      <c r="AH9" s="3">
        <f>'Inputs'!$B$30/12</f>
        <v>10000.0</v>
      </c>
      <c r="AI9" s="3">
        <f>'Inputs'!$B$33/12</f>
        <v>5000.0</v>
      </c>
      <c r="AJ9" s="3">
        <f>'Inputs'!$B$36/12</f>
        <v>5000.0</v>
      </c>
      <c r="AK9" s="3">
        <f>MAX(1,ROUNDUP((SUM($D$2:$D$13)+0.5*SUM($E$2:$E$13))/'Inputs'!$B$40,0))</f>
        <v>1</v>
      </c>
      <c r="AL9" s="3">
        <f>AK9*'Inputs'!$B$39/12</f>
        <v>15000.0</v>
      </c>
      <c r="AM9" s="3">
        <f>D9*'Inputs'!$B$41+E9*'Inputs'!$B$42</f>
        <v>20000</v>
      </c>
      <c r="AN9" s="3">
        <f>0</f>
        <v>0</v>
      </c>
      <c r="AO9" s="3">
        <f>AF9+AG9+AH9+AI9+AJ9+AL9+AM9+AN9</f>
        <v>132500.0</v>
      </c>
      <c r="AP9" s="3">
        <f>AE9-AO9</f>
        <v>-114166.66666666666</v>
      </c>
      <c r="AQ9" s="3">
        <f>(D9+L9)*'Inputs'!$B$64/4</f>
        <v>187500.0</v>
      </c>
      <c r="AR9" s="3">
        <f>(E9*'Inputs'!$B$25+R9*(1-'Inputs'!$B$25))*'Inputs'!$B$65</f>
        <v>55000.0</v>
      </c>
      <c r="AS9" s="3">
        <f>AQ9+AR9+U9</f>
        <v>242500.0</v>
      </c>
      <c r="AT9" s="3">
        <f>IF(A9&gt;'Inputs'!$B$5,INDEX($AS$2:$AS$37,MAX(1,A9-'Inputs'!$B$5)),0)</f>
        <v>242500.0</v>
      </c>
      <c r="AU9" s="3">
        <f>'Inputs'!$B$66*(O9*'Inputs'!$B$53+P9*(1-'Inputs'!$B$53)/3+Q9/4)</f>
        <v>43266.66666666667</v>
      </c>
      <c r="AV9" s="3">
        <f>(E9+E8)*('Inputs'!$B$19+'Inputs'!$B$20*'Inputs'!$B$21+'Inputs'!$B$22*'Inputs'!$B$11+'Inputs'!$B$23+'Inputs'!$B$24)/2</f>
        <v>47083.333333333336</v>
      </c>
      <c r="AW9" s="3">
        <f>AU9+X9+Z9+AV9+AC9+AO9</f>
        <v>248683.33333333334</v>
      </c>
      <c r="AX9" s="3">
        <f>AT9-AW9</f>
        <v>-6183.333333333343</v>
      </c>
      <c r="AY9" s="3">
        <f>AY8+AX9</f>
        <v>-1087150.0</v>
      </c>
      <c r="AZ9" s="3">
        <f>AZ8+AS9-AT9</f>
        <v>242500.0</v>
      </c>
      <c r="BA9" s="3">
        <f>BA8+AQ9+AR9-S9-T9</f>
        <v>242500.0</v>
      </c>
      <c r="BB9" s="3">
        <f>BB8+AU9-W9</f>
        <v>66733.33333333337</v>
      </c>
      <c r="BC9" s="3">
        <f>BC8+AV9-AB9</f>
        <v>47083.333333333336</v>
      </c>
      <c r="BD9" s="3">
        <f>J9*'Inputs'!$B$64</f>
        <v>750000.0</v>
      </c>
      <c r="BE9" s="3">
        <f>(J9+K9)/'Inputs'!$B$9</f>
        <v>1.0</v>
      </c>
      <c r="BF9" s="3">
        <f>J9*'Inputs'!$B$12</f>
        <v>0.2</v>
      </c>
      <c r="BG9" s="3">
        <f>J9*'Inputs'!$B$14</f>
        <v>0.2</v>
      </c>
      <c r="BH9" s="3">
        <f>J9*'Inputs'!$B$10/12+E9*'Inputs'!$B$22</f>
        <v>6.499999999999999</v>
      </c>
      <c r="BI9" s="3">
        <f>'Inputs'!$B$6*'Inputs'!$B$7*(F9*('Inputs'!$B$49+'Inputs'!$B$47)+L9*('Inputs'!$B$49+'Inputs'!$B$48))+E9*'Inputs'!$B$46*'Inputs'!$B$18</f>
        <v>1760.0</v>
      </c>
    </row>
    <row r="10" spans="1:61">
      <c r="A10">
        <v>9</v>
      </c>
      <c r="B10" t="s">
        <v>184</v>
      </c>
      <c r="C10">
        <v>1</v>
      </c>
      <c r="D10" s="2">
        <v>1</v>
      </c>
      <c r="E10" s="2">
        <v>0</v>
      </c>
      <c r="F10" s="3">
        <f>IF(A10&gt;'Inputs'!$B$3,INDEX($D$2:$D$37,MAX(1,A10-'Inputs'!$B$3)),0)</f>
        <v>0</v>
      </c>
      <c r="G10" s="3">
        <f>0+0</f>
        <v>0</v>
      </c>
      <c r="H10" s="3">
        <f>G10*(1-'Inputs'!$B$68)</f>
        <v>0.0</v>
      </c>
      <c r="I10" s="3">
        <f>G10-H10</f>
        <v>0.0</v>
      </c>
      <c r="J10" s="3">
        <f>J9+F10-I10</f>
        <v>1.0</v>
      </c>
      <c r="K10" s="3">
        <f>SUM($D$2:D10)-SUM($F$2:F10)</f>
        <v>2</v>
      </c>
      <c r="L10" s="3">
        <f>F7+H7+F4+H4+0+0+H10</f>
        <v>1.0</v>
      </c>
      <c r="M10" s="3">
        <f>F10+L10</f>
        <v>1.0</v>
      </c>
      <c r="N10" s="3">
        <f>IF(A10+1&gt;'Inputs'!$B$3,INDEX($D$2:$D$37,MAX(1,A10+1-'Inputs'!$B$3)),0)+F8+H8+F5+H5+F2+H2+(0+0)*(1-'Inputs'!$B$68)</f>
        <v>1.0</v>
      </c>
      <c r="O10" s="3">
        <f>IF(A10+1&gt;'Inputs'!$B$3,INDEX($D$2:$D$37,MAX(1,A10+1-'Inputs'!$B$3)),0)</f>
        <v>1</v>
      </c>
      <c r="P10" s="3">
        <f>F8+F5+F2</f>
        <v>0</v>
      </c>
      <c r="Q10" s="3">
        <f>H8+H5+H2+(0+0)*(1-'Inputs'!$B$68)</f>
        <v>0.0</v>
      </c>
      <c r="R10" s="3">
        <f>IF(A10&gt;'Inputs'!$B$4,INDEX($E$2:$E$37,MAX(1,A10-'Inputs'!$B$4)),0)</f>
        <v>0</v>
      </c>
      <c r="S10" s="3">
        <f>J10*'Inputs'!$B$64/12</f>
        <v>62500.0</v>
      </c>
      <c r="T10" s="3">
        <f>R10*'Inputs'!$B$65</f>
        <v>0</v>
      </c>
      <c r="U10" s="3">
        <f>S10*IF(C10&gt;1,'Inputs'!$B$70,0)</f>
        <v>0.0</v>
      </c>
      <c r="V10" s="3">
        <f>SUM(S10:U10)</f>
        <v>62500.0</v>
      </c>
      <c r="W10" s="3">
        <f>J10*'Inputs'!$B$66/12</f>
        <v>18333.333333333332</v>
      </c>
      <c r="X10" s="3">
        <f>J10*('Inputs'!$B$66*'Inputs'!$B$17+'Inputs'!$B$10*'Inputs'!$B$11+'Inputs'!$B$12*'Inputs'!$B$13+'Inputs'!$B$14*'Inputs'!$B$15+'Inputs'!$B$67+'Inputs'!$B$16)/12</f>
        <v>10833.333333333334</v>
      </c>
      <c r="Y10" s="3">
        <f>MAX(Y9,ROUNDUP((J10+K10)/'Inputs'!$B$9,0))</f>
        <v>2</v>
      </c>
      <c r="Z10" s="3">
        <f>Y10*'Inputs'!$B$8/12</f>
        <v>30000.0</v>
      </c>
      <c r="AA10" s="3">
        <f>W10+X10+Z10</f>
        <v>59166.666666666664</v>
      </c>
      <c r="AB10" s="3">
        <f>R10*('Inputs'!$B$19+'Inputs'!$B$20*'Inputs'!$B$21+'Inputs'!$B$22*'Inputs'!$B$11+'Inputs'!$B$23+'Inputs'!$B$24)</f>
        <v>0.0</v>
      </c>
      <c r="AC10" s="3">
        <f>U10*'Inputs'!$B$26</f>
        <v>0.0</v>
      </c>
      <c r="AD10" s="3">
        <f>AA10+AB10+AC10</f>
        <v>59166.666666666664</v>
      </c>
      <c r="AE10" s="3">
        <f>V10-AD10</f>
        <v>3333.3333333333358</v>
      </c>
      <c r="AF10" s="3">
        <f>'Inputs'!$B$27/12</f>
        <v>15000.0</v>
      </c>
      <c r="AG10" s="3">
        <f>'Inputs'!$B$71/12</f>
        <v>62500.0</v>
      </c>
      <c r="AH10" s="3">
        <f>'Inputs'!$B$30/12</f>
        <v>10000.0</v>
      </c>
      <c r="AI10" s="3">
        <f>'Inputs'!$B$33/12</f>
        <v>5000.0</v>
      </c>
      <c r="AJ10" s="3">
        <f>'Inputs'!$B$36/12</f>
        <v>5000.0</v>
      </c>
      <c r="AK10" s="3">
        <f>MAX(1,ROUNDUP((SUM($D$2:$D$13)+0.5*SUM($E$2:$E$13))/'Inputs'!$B$40,0))</f>
        <v>1</v>
      </c>
      <c r="AL10" s="3">
        <f>AK10*'Inputs'!$B$39/12</f>
        <v>15000.0</v>
      </c>
      <c r="AM10" s="3">
        <f>D10*'Inputs'!$B$41+E10*'Inputs'!$B$42</f>
        <v>15000</v>
      </c>
      <c r="AN10" s="3">
        <f>0</f>
        <v>0</v>
      </c>
      <c r="AO10" s="3">
        <f>AF10+AG10+AH10+AI10+AJ10+AL10+AM10+AN10</f>
        <v>127500.0</v>
      </c>
      <c r="AP10" s="3">
        <f>AE10-AO10</f>
        <v>-124166.66666666666</v>
      </c>
      <c r="AQ10" s="3">
        <f>(D10+L10)*'Inputs'!$B$64/4</f>
        <v>375000.0</v>
      </c>
      <c r="AR10" s="3">
        <f>(E10*'Inputs'!$B$25+R10*(1-'Inputs'!$B$25))*'Inputs'!$B$65</f>
        <v>0.0</v>
      </c>
      <c r="AS10" s="3">
        <f>AQ10+AR10+U10</f>
        <v>375000.0</v>
      </c>
      <c r="AT10" s="3">
        <f>IF(A10&gt;'Inputs'!$B$5,INDEX($AS$2:$AS$37,MAX(1,A10-'Inputs'!$B$5)),0)</f>
        <v>0.0</v>
      </c>
      <c r="AU10" s="3">
        <f>'Inputs'!$B$66*(O10*'Inputs'!$B$53+P10*(1-'Inputs'!$B$53)/3+Q10/4)</f>
        <v>90200.0</v>
      </c>
      <c r="AV10" s="3">
        <f>(E10+E9)*('Inputs'!$B$19+'Inputs'!$B$20*'Inputs'!$B$21+'Inputs'!$B$22*'Inputs'!$B$11+'Inputs'!$B$23+'Inputs'!$B$24)/2</f>
        <v>47083.333333333336</v>
      </c>
      <c r="AW10" s="3">
        <f>AU10+X10+Z10+AV10+AC10+AO10</f>
        <v>305616.6666666666</v>
      </c>
      <c r="AX10" s="3">
        <f>AT10-AW10</f>
        <v>-305616.6666666666</v>
      </c>
      <c r="AY10" s="3">
        <f>AY9+AX10</f>
        <v>-1392766.6666666665</v>
      </c>
      <c r="AZ10" s="3">
        <f>AZ9+AS10-AT10</f>
        <v>617500.0</v>
      </c>
      <c r="BA10" s="3">
        <f>BA9+AQ10+AR10-S10-T10</f>
        <v>555000.0</v>
      </c>
      <c r="BB10" s="3">
        <f>BB9+AU10-W10</f>
        <v>138600.00000000003</v>
      </c>
      <c r="BC10" s="3">
        <f>BC9+AV10-AB10</f>
        <v>94166.66666666667</v>
      </c>
      <c r="BD10" s="3">
        <f>J10*'Inputs'!$B$64</f>
        <v>750000.0</v>
      </c>
      <c r="BE10" s="3">
        <f>(J10+K10)/'Inputs'!$B$9</f>
        <v>1.5</v>
      </c>
      <c r="BF10" s="3">
        <f>J10*'Inputs'!$B$12</f>
        <v>0.2</v>
      </c>
      <c r="BG10" s="3">
        <f>J10*'Inputs'!$B$14</f>
        <v>0.2</v>
      </c>
      <c r="BH10" s="3">
        <f>J10*'Inputs'!$B$10/12+E10*'Inputs'!$B$22</f>
        <v>0.8333333333333334</v>
      </c>
      <c r="BI10" s="3">
        <f>'Inputs'!$B$6*'Inputs'!$B$7*(F10*('Inputs'!$B$49+'Inputs'!$B$47)+L10*('Inputs'!$B$49+'Inputs'!$B$48))+E10*'Inputs'!$B$46*'Inputs'!$B$18</f>
        <v>1920.0</v>
      </c>
    </row>
    <row r="11" spans="1:61">
      <c r="A11">
        <v>10</v>
      </c>
      <c r="B11" t="s">
        <v>185</v>
      </c>
      <c r="C11">
        <v>1</v>
      </c>
      <c r="D11" s="2">
        <v>0</v>
      </c>
      <c r="E11" s="2">
        <v>0</v>
      </c>
      <c r="F11" s="3">
        <f>IF(A11&gt;'Inputs'!$B$3,INDEX($D$2:$D$37,MAX(1,A11-'Inputs'!$B$3)),0)</f>
        <v>1</v>
      </c>
      <c r="G11" s="3">
        <f>0+0</f>
        <v>0</v>
      </c>
      <c r="H11" s="3">
        <f>G11*(1-'Inputs'!$B$68)</f>
        <v>0.0</v>
      </c>
      <c r="I11" s="3">
        <f>G11-H11</f>
        <v>0.0</v>
      </c>
      <c r="J11" s="3">
        <f>J10+F11-I11</f>
        <v>2.0</v>
      </c>
      <c r="K11" s="3">
        <f>SUM($D$2:D11)-SUM($F$2:F11)</f>
        <v>1</v>
      </c>
      <c r="L11" s="3">
        <f>F8+H8+F5+H5+F2+H2+H11</f>
        <v>0.0</v>
      </c>
      <c r="M11" s="3">
        <f>F11+L11</f>
        <v>1.0</v>
      </c>
      <c r="N11" s="3">
        <f>IF(A11+1&gt;'Inputs'!$B$3,INDEX($D$2:$D$37,MAX(1,A11+1-'Inputs'!$B$3)),0)+F9+H9+F6+H6+F3+H3+(0+0)*(1-'Inputs'!$B$68)</f>
        <v>1.0</v>
      </c>
      <c r="O11" s="3">
        <f>IF(A11+1&gt;'Inputs'!$B$3,INDEX($D$2:$D$37,MAX(1,A11+1-'Inputs'!$B$3)),0)</f>
        <v>1</v>
      </c>
      <c r="P11" s="3">
        <f>F9+F6+F3</f>
        <v>0</v>
      </c>
      <c r="Q11" s="3">
        <f>H9+H6+H3+(0+0)*(1-'Inputs'!$B$68)</f>
        <v>0.0</v>
      </c>
      <c r="R11" s="3">
        <f>IF(A11&gt;'Inputs'!$B$4,INDEX($E$2:$E$37,MAX(1,A11-'Inputs'!$B$4)),0)</f>
        <v>1</v>
      </c>
      <c r="S11" s="3">
        <f>J11*'Inputs'!$B$64/12</f>
        <v>125000.0</v>
      </c>
      <c r="T11" s="3">
        <f>R11*'Inputs'!$B$65</f>
        <v>110000</v>
      </c>
      <c r="U11" s="3">
        <f>S11*IF(C11&gt;1,'Inputs'!$B$70,0)</f>
        <v>0.0</v>
      </c>
      <c r="V11" s="3">
        <f>SUM(S11:U11)</f>
        <v>235000.0</v>
      </c>
      <c r="W11" s="3">
        <f>J11*'Inputs'!$B$66/12</f>
        <v>36666.666666666664</v>
      </c>
      <c r="X11" s="3">
        <f>J11*('Inputs'!$B$66*'Inputs'!$B$17+'Inputs'!$B$10*'Inputs'!$B$11+'Inputs'!$B$12*'Inputs'!$B$13+'Inputs'!$B$14*'Inputs'!$B$15+'Inputs'!$B$67+'Inputs'!$B$16)/12</f>
        <v>21666.666666666668</v>
      </c>
      <c r="Y11" s="3">
        <f>MAX(Y10,ROUNDUP((J11+K11)/'Inputs'!$B$9,0))</f>
        <v>2</v>
      </c>
      <c r="Z11" s="3">
        <f>Y11*'Inputs'!$B$8/12</f>
        <v>30000.0</v>
      </c>
      <c r="AA11" s="3">
        <f>W11+X11+Z11</f>
        <v>88333.33333333333</v>
      </c>
      <c r="AB11" s="3">
        <f>R11*('Inputs'!$B$19+'Inputs'!$B$20*'Inputs'!$B$21+'Inputs'!$B$22*'Inputs'!$B$11+'Inputs'!$B$23+'Inputs'!$B$24)</f>
        <v>94166.66666666667</v>
      </c>
      <c r="AC11" s="3">
        <f>U11*'Inputs'!$B$26</f>
        <v>0.0</v>
      </c>
      <c r="AD11" s="3">
        <f>AA11+AB11+AC11</f>
        <v>182500.0</v>
      </c>
      <c r="AE11" s="3">
        <f>V11-AD11</f>
        <v>52500.0</v>
      </c>
      <c r="AF11" s="3">
        <f>'Inputs'!$B$27/12</f>
        <v>15000.0</v>
      </c>
      <c r="AG11" s="3">
        <f>'Inputs'!$B$71/12</f>
        <v>62500.0</v>
      </c>
      <c r="AH11" s="3">
        <f>'Inputs'!$B$30/12</f>
        <v>10000.0</v>
      </c>
      <c r="AI11" s="3">
        <f>'Inputs'!$B$33/12</f>
        <v>5000.0</v>
      </c>
      <c r="AJ11" s="3">
        <f>'Inputs'!$B$36/12</f>
        <v>5000.0</v>
      </c>
      <c r="AK11" s="3">
        <f>MAX(1,ROUNDUP((SUM($D$2:$D$13)+0.5*SUM($E$2:$E$13))/'Inputs'!$B$40,0))</f>
        <v>1</v>
      </c>
      <c r="AL11" s="3">
        <f>AK11*'Inputs'!$B$39/12</f>
        <v>15000.0</v>
      </c>
      <c r="AM11" s="3">
        <f>D11*'Inputs'!$B$41+E11*'Inputs'!$B$42</f>
        <v>0</v>
      </c>
      <c r="AN11" s="3">
        <f>0</f>
        <v>0</v>
      </c>
      <c r="AO11" s="3">
        <f>AF11+AG11+AH11+AI11+AJ11+AL11+AM11+AN11</f>
        <v>112500.0</v>
      </c>
      <c r="AP11" s="3">
        <f>AE11-AO11</f>
        <v>-60000.0</v>
      </c>
      <c r="AQ11" s="3">
        <f>(D11+L11)*'Inputs'!$B$64/4</f>
        <v>0.0</v>
      </c>
      <c r="AR11" s="3">
        <f>(E11*'Inputs'!$B$25+R11*(1-'Inputs'!$B$25))*'Inputs'!$B$65</f>
        <v>55000.0</v>
      </c>
      <c r="AS11" s="3">
        <f>AQ11+AR11+U11</f>
        <v>55000.0</v>
      </c>
      <c r="AT11" s="3">
        <f>IF(A11&gt;'Inputs'!$B$5,INDEX($AS$2:$AS$37,MAX(1,A11-'Inputs'!$B$5)),0)</f>
        <v>242500.0</v>
      </c>
      <c r="AU11" s="3">
        <f>'Inputs'!$B$66*(O11*'Inputs'!$B$53+P11*(1-'Inputs'!$B$53)/3+Q11/4)</f>
        <v>90200.0</v>
      </c>
      <c r="AV11" s="3">
        <f>(E11+E10)*('Inputs'!$B$19+'Inputs'!$B$20*'Inputs'!$B$21+'Inputs'!$B$22*'Inputs'!$B$11+'Inputs'!$B$23+'Inputs'!$B$24)/2</f>
        <v>0.0</v>
      </c>
      <c r="AW11" s="3">
        <f>AU11+X11+Z11+AV11+AC11+AO11</f>
        <v>254366.6666666667</v>
      </c>
      <c r="AX11" s="3">
        <f>AT11-AW11</f>
        <v>-11866.666666666686</v>
      </c>
      <c r="AY11" s="3">
        <f>AY10+AX11</f>
        <v>-1404633.3333333333</v>
      </c>
      <c r="AZ11" s="3">
        <f>AZ10+AS11-AT11</f>
        <v>430000.0</v>
      </c>
      <c r="BA11" s="3">
        <f>BA10+AQ11+AR11-S11-T11</f>
        <v>375000.0</v>
      </c>
      <c r="BB11" s="3">
        <f>BB10+AU11-W11</f>
        <v>192133.33333333337</v>
      </c>
      <c r="BC11" s="3">
        <f>BC10+AV11-AB11</f>
        <v>0.0</v>
      </c>
      <c r="BD11" s="3">
        <f>J11*'Inputs'!$B$64</f>
        <v>1500000.0</v>
      </c>
      <c r="BE11" s="3">
        <f>(J11+K11)/'Inputs'!$B$9</f>
        <v>1.5</v>
      </c>
      <c r="BF11" s="3">
        <f>J11*'Inputs'!$B$12</f>
        <v>0.4</v>
      </c>
      <c r="BG11" s="3">
        <f>J11*'Inputs'!$B$14</f>
        <v>0.4</v>
      </c>
      <c r="BH11" s="3">
        <f>J11*'Inputs'!$B$10/12+E11*'Inputs'!$B$22</f>
        <v>1.6666666666666667</v>
      </c>
      <c r="BI11" s="3">
        <f>'Inputs'!$B$6*'Inputs'!$B$7*(F11*('Inputs'!$B$49+'Inputs'!$B$47)+L11*('Inputs'!$B$49+'Inputs'!$B$48))+E11*'Inputs'!$B$46*'Inputs'!$B$18</f>
        <v>2400.0</v>
      </c>
    </row>
    <row r="12" spans="1:61">
      <c r="A12">
        <v>11</v>
      </c>
      <c r="B12" t="s">
        <v>186</v>
      </c>
      <c r="C12">
        <v>1</v>
      </c>
      <c r="D12" s="2">
        <v>1</v>
      </c>
      <c r="E12" s="2">
        <v>0</v>
      </c>
      <c r="F12" s="3">
        <f>IF(A12&gt;'Inputs'!$B$3,INDEX($D$2:$D$37,MAX(1,A12-'Inputs'!$B$3)),0)</f>
        <v>1</v>
      </c>
      <c r="G12" s="3">
        <f>0+0</f>
        <v>0</v>
      </c>
      <c r="H12" s="3">
        <f>G12*(1-'Inputs'!$B$68)</f>
        <v>0.0</v>
      </c>
      <c r="I12" s="3">
        <f>G12-H12</f>
        <v>0.0</v>
      </c>
      <c r="J12" s="3">
        <f>J11+F12-I12</f>
        <v>3.0</v>
      </c>
      <c r="K12" s="3">
        <f>SUM($D$2:D12)-SUM($F$2:F12)</f>
        <v>1</v>
      </c>
      <c r="L12" s="3">
        <f>F9+H9+F6+H6+F3+H3+H12</f>
        <v>0.0</v>
      </c>
      <c r="M12" s="3">
        <f>F12+L12</f>
        <v>1.0</v>
      </c>
      <c r="N12" s="3">
        <f>IF(A12+1&gt;'Inputs'!$B$3,INDEX($D$2:$D$37,MAX(1,A12+1-'Inputs'!$B$3)),0)+F10+H10+F7+H7+F4+H4+(0+0)*(1-'Inputs'!$B$68)</f>
        <v>1.0</v>
      </c>
      <c r="O12" s="3">
        <f>IF(A12+1&gt;'Inputs'!$B$3,INDEX($D$2:$D$37,MAX(1,A12+1-'Inputs'!$B$3)),0)</f>
        <v>0</v>
      </c>
      <c r="P12" s="3">
        <f>F10+F7+F4</f>
        <v>1</v>
      </c>
      <c r="Q12" s="3">
        <f>H10+H7+H4+(0+0)*(1-'Inputs'!$B$68)</f>
        <v>0.0</v>
      </c>
      <c r="R12" s="3">
        <f>IF(A12&gt;'Inputs'!$B$4,INDEX($E$2:$E$37,MAX(1,A12-'Inputs'!$B$4)),0)</f>
        <v>0</v>
      </c>
      <c r="S12" s="3">
        <f>J12*'Inputs'!$B$64/12</f>
        <v>187500.0</v>
      </c>
      <c r="T12" s="3">
        <f>R12*'Inputs'!$B$65</f>
        <v>0</v>
      </c>
      <c r="U12" s="3">
        <f>S12*IF(C12&gt;1,'Inputs'!$B$70,0)</f>
        <v>0.0</v>
      </c>
      <c r="V12" s="3">
        <f>SUM(S12:U12)</f>
        <v>187500.0</v>
      </c>
      <c r="W12" s="3">
        <f>J12*'Inputs'!$B$66/12</f>
        <v>55000.0</v>
      </c>
      <c r="X12" s="3">
        <f>J12*('Inputs'!$B$66*'Inputs'!$B$17+'Inputs'!$B$10*'Inputs'!$B$11+'Inputs'!$B$12*'Inputs'!$B$13+'Inputs'!$B$14*'Inputs'!$B$15+'Inputs'!$B$67+'Inputs'!$B$16)/12</f>
        <v>32500.0</v>
      </c>
      <c r="Y12" s="3">
        <f>MAX(Y11,ROUNDUP((J12+K12)/'Inputs'!$B$9,0))</f>
        <v>2</v>
      </c>
      <c r="Z12" s="3">
        <f>Y12*'Inputs'!$B$8/12</f>
        <v>30000.0</v>
      </c>
      <c r="AA12" s="3">
        <f>W12+X12+Z12</f>
        <v>117500.0</v>
      </c>
      <c r="AB12" s="3">
        <f>R12*('Inputs'!$B$19+'Inputs'!$B$20*'Inputs'!$B$21+'Inputs'!$B$22*'Inputs'!$B$11+'Inputs'!$B$23+'Inputs'!$B$24)</f>
        <v>0.0</v>
      </c>
      <c r="AC12" s="3">
        <f>U12*'Inputs'!$B$26</f>
        <v>0.0</v>
      </c>
      <c r="AD12" s="3">
        <f>AA12+AB12+AC12</f>
        <v>117500.0</v>
      </c>
      <c r="AE12" s="3">
        <f>V12-AD12</f>
        <v>70000.0</v>
      </c>
      <c r="AF12" s="3">
        <f>'Inputs'!$B$27/12</f>
        <v>15000.0</v>
      </c>
      <c r="AG12" s="3">
        <f>'Inputs'!$B$71/12</f>
        <v>62500.0</v>
      </c>
      <c r="AH12" s="3">
        <f>'Inputs'!$B$30/12</f>
        <v>10000.0</v>
      </c>
      <c r="AI12" s="3">
        <f>'Inputs'!$B$33/12</f>
        <v>5000.0</v>
      </c>
      <c r="AJ12" s="3">
        <f>'Inputs'!$B$36/12</f>
        <v>5000.0</v>
      </c>
      <c r="AK12" s="3">
        <f>MAX(1,ROUNDUP((SUM($D$2:$D$13)+0.5*SUM($E$2:$E$13))/'Inputs'!$B$40,0))</f>
        <v>1</v>
      </c>
      <c r="AL12" s="3">
        <f>AK12*'Inputs'!$B$39/12</f>
        <v>15000.0</v>
      </c>
      <c r="AM12" s="3">
        <f>D12*'Inputs'!$B$41+E12*'Inputs'!$B$42</f>
        <v>15000</v>
      </c>
      <c r="AN12" s="3">
        <f>0</f>
        <v>0</v>
      </c>
      <c r="AO12" s="3">
        <f>AF12+AG12+AH12+AI12+AJ12+AL12+AM12+AN12</f>
        <v>127500.0</v>
      </c>
      <c r="AP12" s="3">
        <f>AE12-AO12</f>
        <v>-57500.0</v>
      </c>
      <c r="AQ12" s="3">
        <f>(D12+L12)*'Inputs'!$B$64/4</f>
        <v>187500.0</v>
      </c>
      <c r="AR12" s="3">
        <f>(E12*'Inputs'!$B$25+R12*(1-'Inputs'!$B$25))*'Inputs'!$B$65</f>
        <v>0.0</v>
      </c>
      <c r="AS12" s="3">
        <f>AQ12+AR12+U12</f>
        <v>187500.0</v>
      </c>
      <c r="AT12" s="3">
        <f>IF(A12&gt;'Inputs'!$B$5,INDEX($AS$2:$AS$37,MAX(1,A12-'Inputs'!$B$5)),0)</f>
        <v>375000.0</v>
      </c>
      <c r="AU12" s="3">
        <f>'Inputs'!$B$66*(O12*'Inputs'!$B$53+P12*(1-'Inputs'!$B$53)/3+Q12/4)</f>
        <v>43266.66666666667</v>
      </c>
      <c r="AV12" s="3">
        <f>(E12+E11)*('Inputs'!$B$19+'Inputs'!$B$20*'Inputs'!$B$21+'Inputs'!$B$22*'Inputs'!$B$11+'Inputs'!$B$23+'Inputs'!$B$24)/2</f>
        <v>0.0</v>
      </c>
      <c r="AW12" s="3">
        <f>AU12+X12+Z12+AV12+AC12+AO12</f>
        <v>233266.6666666667</v>
      </c>
      <c r="AX12" s="3">
        <f>AT12-AW12</f>
        <v>141733.3333333333</v>
      </c>
      <c r="AY12" s="3">
        <f>AY11+AX12</f>
        <v>-1262900.0</v>
      </c>
      <c r="AZ12" s="3">
        <f>AZ11+AS12-AT12</f>
        <v>242500.0</v>
      </c>
      <c r="BA12" s="3">
        <f>BA11+AQ12+AR12-S12-T12</f>
        <v>375000.0</v>
      </c>
      <c r="BB12" s="3">
        <f>BB11+AU12-W12</f>
        <v>180400.00000000006</v>
      </c>
      <c r="BC12" s="3">
        <f>BC11+AV12-AB12</f>
        <v>0.0</v>
      </c>
      <c r="BD12" s="3">
        <f>J12*'Inputs'!$B$64</f>
        <v>2250000.0</v>
      </c>
      <c r="BE12" s="3">
        <f>(J12+K12)/'Inputs'!$B$9</f>
        <v>2.0</v>
      </c>
      <c r="BF12" s="3">
        <f>J12*'Inputs'!$B$12</f>
        <v>0.6000000000000001</v>
      </c>
      <c r="BG12" s="3">
        <f>J12*'Inputs'!$B$14</f>
        <v>0.6000000000000001</v>
      </c>
      <c r="BH12" s="3">
        <f>J12*'Inputs'!$B$10/12+E12*'Inputs'!$B$22</f>
        <v>2.5</v>
      </c>
      <c r="BI12" s="3">
        <f>'Inputs'!$B$6*'Inputs'!$B$7*(F12*('Inputs'!$B$49+'Inputs'!$B$47)+L12*('Inputs'!$B$49+'Inputs'!$B$48))+E12*'Inputs'!$B$46*'Inputs'!$B$18</f>
        <v>2400.0</v>
      </c>
    </row>
    <row r="13" spans="1:61">
      <c r="A13">
        <v>12</v>
      </c>
      <c r="B13" t="s">
        <v>187</v>
      </c>
      <c r="C13">
        <v>1</v>
      </c>
      <c r="D13" s="2">
        <v>1</v>
      </c>
      <c r="E13" s="2">
        <v>1</v>
      </c>
      <c r="F13" s="3">
        <f>IF(A13&gt;'Inputs'!$B$3,INDEX($D$2:$D$37,MAX(1,A13-'Inputs'!$B$3)),0)</f>
        <v>0</v>
      </c>
      <c r="G13" s="3">
        <f>0+0</f>
        <v>0</v>
      </c>
      <c r="H13" s="3">
        <f>G13*(1-'Inputs'!$B$68)</f>
        <v>0.0</v>
      </c>
      <c r="I13" s="3">
        <f>G13-H13</f>
        <v>0.0</v>
      </c>
      <c r="J13" s="3">
        <f>J12+F13-I13</f>
        <v>3.0</v>
      </c>
      <c r="K13" s="3">
        <f>SUM($D$2:D13)-SUM($F$2:F13)</f>
        <v>2</v>
      </c>
      <c r="L13" s="3">
        <f>F10+H10+F7+H7+F4+H4+H13</f>
        <v>1.0</v>
      </c>
      <c r="M13" s="3">
        <f>F13+L13</f>
        <v>1.0</v>
      </c>
      <c r="N13" s="3">
        <f>IF(A13+1&gt;'Inputs'!$B$3,INDEX($D$2:$D$37,MAX(1,A13+1-'Inputs'!$B$3)),0)+F11+H11+F8+H8+F5+H5+(F2+H2)*(1-'Inputs'!$B$68)</f>
        <v>2.0</v>
      </c>
      <c r="O13" s="3">
        <f>IF(A13+1&gt;'Inputs'!$B$3,INDEX($D$2:$D$37,MAX(1,A13+1-'Inputs'!$B$3)),0)</f>
        <v>1</v>
      </c>
      <c r="P13" s="3">
        <f>F11+F8+F5</f>
        <v>1</v>
      </c>
      <c r="Q13" s="3">
        <f>H11+H8+H5+(F2+H2)*(1-'Inputs'!$B$68)</f>
        <v>0.0</v>
      </c>
      <c r="R13" s="3">
        <f>IF(A13&gt;'Inputs'!$B$4,INDEX($E$2:$E$37,MAX(1,A13-'Inputs'!$B$4)),0)</f>
        <v>0</v>
      </c>
      <c r="S13" s="3">
        <f>J13*'Inputs'!$B$64/12</f>
        <v>187500.0</v>
      </c>
      <c r="T13" s="3">
        <f>R13*'Inputs'!$B$65</f>
        <v>0</v>
      </c>
      <c r="U13" s="3">
        <f>S13*IF(C13&gt;1,'Inputs'!$B$70,0)</f>
        <v>0.0</v>
      </c>
      <c r="V13" s="3">
        <f>SUM(S13:U13)</f>
        <v>187500.0</v>
      </c>
      <c r="W13" s="3">
        <f>J13*'Inputs'!$B$66/12</f>
        <v>55000.0</v>
      </c>
      <c r="X13" s="3">
        <f>J13*('Inputs'!$B$66*'Inputs'!$B$17+'Inputs'!$B$10*'Inputs'!$B$11+'Inputs'!$B$12*'Inputs'!$B$13+'Inputs'!$B$14*'Inputs'!$B$15+'Inputs'!$B$67+'Inputs'!$B$16)/12</f>
        <v>32500.0</v>
      </c>
      <c r="Y13" s="3">
        <f>MAX(Y12,ROUNDUP((J13+K13)/'Inputs'!$B$9,0))</f>
        <v>3</v>
      </c>
      <c r="Z13" s="3">
        <f>Y13*'Inputs'!$B$8/12</f>
        <v>45000.0</v>
      </c>
      <c r="AA13" s="3">
        <f>W13+X13+Z13</f>
        <v>132500.0</v>
      </c>
      <c r="AB13" s="3">
        <f>R13*('Inputs'!$B$19+'Inputs'!$B$20*'Inputs'!$B$21+'Inputs'!$B$22*'Inputs'!$B$11+'Inputs'!$B$23+'Inputs'!$B$24)</f>
        <v>0.0</v>
      </c>
      <c r="AC13" s="3">
        <f>U13*'Inputs'!$B$26</f>
        <v>0.0</v>
      </c>
      <c r="AD13" s="3">
        <f>AA13+AB13+AC13</f>
        <v>132500.0</v>
      </c>
      <c r="AE13" s="3">
        <f>V13-AD13</f>
        <v>55000.0</v>
      </c>
      <c r="AF13" s="3">
        <f>'Inputs'!$B$27/12</f>
        <v>15000.0</v>
      </c>
      <c r="AG13" s="3">
        <f>'Inputs'!$B$71/12</f>
        <v>62500.0</v>
      </c>
      <c r="AH13" s="3">
        <f>'Inputs'!$B$30/12</f>
        <v>10000.0</v>
      </c>
      <c r="AI13" s="3">
        <f>'Inputs'!$B$33/12</f>
        <v>5000.0</v>
      </c>
      <c r="AJ13" s="3">
        <f>'Inputs'!$B$36/12</f>
        <v>5000.0</v>
      </c>
      <c r="AK13" s="3">
        <f>MAX(1,ROUNDUP((SUM($D$2:$D$13)+0.5*SUM($E$2:$E$13))/'Inputs'!$B$40,0))</f>
        <v>1</v>
      </c>
      <c r="AL13" s="3">
        <f>AK13*'Inputs'!$B$39/12</f>
        <v>15000.0</v>
      </c>
      <c r="AM13" s="3">
        <f>D13*'Inputs'!$B$41+E13*'Inputs'!$B$42</f>
        <v>20000</v>
      </c>
      <c r="AN13" s="3">
        <f>0</f>
        <v>0</v>
      </c>
      <c r="AO13" s="3">
        <f>AF13+AG13+AH13+AI13+AJ13+AL13+AM13+AN13</f>
        <v>132500.0</v>
      </c>
      <c r="AP13" s="3">
        <f>AE13-AO13</f>
        <v>-77500.0</v>
      </c>
      <c r="AQ13" s="3">
        <f>(D13+L13)*'Inputs'!$B$64/4</f>
        <v>375000.0</v>
      </c>
      <c r="AR13" s="3">
        <f>(E13*'Inputs'!$B$25+R13*(1-'Inputs'!$B$25))*'Inputs'!$B$65</f>
        <v>55000.0</v>
      </c>
      <c r="AS13" s="3">
        <f>AQ13+AR13+U13</f>
        <v>430000.0</v>
      </c>
      <c r="AT13" s="3">
        <f>IF(A13&gt;'Inputs'!$B$5,INDEX($AS$2:$AS$37,MAX(1,A13-'Inputs'!$B$5)),0)</f>
        <v>55000.0</v>
      </c>
      <c r="AU13" s="3">
        <f>'Inputs'!$B$66*(O13*'Inputs'!$B$53+P13*(1-'Inputs'!$B$53)/3+Q13/4)</f>
        <v>133466.66666666666</v>
      </c>
      <c r="AV13" s="3">
        <f>(E13+E12)*('Inputs'!$B$19+'Inputs'!$B$20*'Inputs'!$B$21+'Inputs'!$B$22*'Inputs'!$B$11+'Inputs'!$B$23+'Inputs'!$B$24)/2</f>
        <v>47083.333333333336</v>
      </c>
      <c r="AW13" s="3">
        <f>AU13+X13+Z13+AV13+AC13+AO13</f>
        <v>390550.0</v>
      </c>
      <c r="AX13" s="3">
        <f>AT13-AW13</f>
        <v>-335550.0</v>
      </c>
      <c r="AY13" s="3">
        <f>AY12+AX13</f>
        <v>-1598450.0</v>
      </c>
      <c r="AZ13" s="3">
        <f>AZ12+AS13-AT13</f>
        <v>617500.0</v>
      </c>
      <c r="BA13" s="3">
        <f>BA12+AQ13+AR13-S13-T13</f>
        <v>617500.0</v>
      </c>
      <c r="BB13" s="3">
        <f>BB12+AU13-W13</f>
        <v>258866.66666666674</v>
      </c>
      <c r="BC13" s="3">
        <f>BC12+AV13-AB13</f>
        <v>47083.333333333336</v>
      </c>
      <c r="BD13" s="3">
        <f>J13*'Inputs'!$B$64</f>
        <v>2250000.0</v>
      </c>
      <c r="BE13" s="3">
        <f>(J13+K13)/'Inputs'!$B$9</f>
        <v>2.5</v>
      </c>
      <c r="BF13" s="3">
        <f>J13*'Inputs'!$B$12</f>
        <v>0.6000000000000001</v>
      </c>
      <c r="BG13" s="3">
        <f>J13*'Inputs'!$B$14</f>
        <v>0.6000000000000001</v>
      </c>
      <c r="BH13" s="3">
        <f>J13*'Inputs'!$B$10/12+E13*'Inputs'!$B$22</f>
        <v>8.166666666666666</v>
      </c>
      <c r="BI13" s="3">
        <f>'Inputs'!$B$6*'Inputs'!$B$7*(F13*('Inputs'!$B$49+'Inputs'!$B$47)+L13*('Inputs'!$B$49+'Inputs'!$B$48))+E13*'Inputs'!$B$46*'Inputs'!$B$18</f>
        <v>3680.0</v>
      </c>
    </row>
    <row r="14" spans="1:61">
      <c r="A14">
        <v>13</v>
      </c>
      <c r="B14" t="s">
        <v>188</v>
      </c>
      <c r="C14">
        <v>2</v>
      </c>
      <c r="D14" s="2">
        <v>1</v>
      </c>
      <c r="E14" s="2">
        <v>0</v>
      </c>
      <c r="F14" s="3">
        <f>IF(A14&gt;'Inputs'!$B$3,INDEX($D$2:$D$37,MAX(1,A14-'Inputs'!$B$3)),0)</f>
        <v>1</v>
      </c>
      <c r="G14" s="3">
        <f>F2+H2</f>
        <v>0.0</v>
      </c>
      <c r="H14" s="3">
        <f>G14*(1-'Inputs'!$B$68)</f>
        <v>0.0</v>
      </c>
      <c r="I14" s="3">
        <f>G14-H14</f>
        <v>0.0</v>
      </c>
      <c r="J14" s="3">
        <f>J13+F14-I14</f>
        <v>4.0</v>
      </c>
      <c r="K14" s="3">
        <f>SUM($D$2:D14)-SUM($F$2:F14)</f>
        <v>2</v>
      </c>
      <c r="L14" s="3">
        <f>F11+H11+F8+H8+F5+H5+H14</f>
        <v>1.0</v>
      </c>
      <c r="M14" s="3">
        <f>F14+L14</f>
        <v>2.0</v>
      </c>
      <c r="N14" s="3">
        <f>IF(A14+1&gt;'Inputs'!$B$3,INDEX($D$2:$D$37,MAX(1,A14+1-'Inputs'!$B$3)),0)+F12+H12+F9+H9+F6+H6+(F3+H3)*(1-'Inputs'!$B$68)</f>
        <v>2.0</v>
      </c>
      <c r="O14" s="3">
        <f>IF(A14+1&gt;'Inputs'!$B$3,INDEX($D$2:$D$37,MAX(1,A14+1-'Inputs'!$B$3)),0)</f>
        <v>1</v>
      </c>
      <c r="P14" s="3">
        <f>F12+F9+F6</f>
        <v>1</v>
      </c>
      <c r="Q14" s="3">
        <f>H12+H9+H6+(F3+H3)*(1-'Inputs'!$B$68)</f>
        <v>0.0</v>
      </c>
      <c r="R14" s="3">
        <f>IF(A14&gt;'Inputs'!$B$4,INDEX($E$2:$E$37,MAX(1,A14-'Inputs'!$B$4)),0)</f>
        <v>0</v>
      </c>
      <c r="S14" s="3">
        <f>J14*'Inputs'!$B$64/12</f>
        <v>250000.0</v>
      </c>
      <c r="T14" s="3">
        <f>R14*'Inputs'!$B$65</f>
        <v>0</v>
      </c>
      <c r="U14" s="3">
        <f>S14*IF(C14&gt;1,'Inputs'!$B$70,0)</f>
        <v>25000.0</v>
      </c>
      <c r="V14" s="3">
        <f>SUM(S14:U14)</f>
        <v>275000.0</v>
      </c>
      <c r="W14" s="3">
        <f>J14*'Inputs'!$B$66/12</f>
        <v>73333.33333333333</v>
      </c>
      <c r="X14" s="3">
        <f>J14*('Inputs'!$B$66*'Inputs'!$B$17+'Inputs'!$B$10*'Inputs'!$B$11+'Inputs'!$B$12*'Inputs'!$B$13+'Inputs'!$B$14*'Inputs'!$B$15+'Inputs'!$B$67+'Inputs'!$B$16)/12</f>
        <v>43333.333333333336</v>
      </c>
      <c r="Y14" s="3">
        <f>MAX(Y13,ROUNDUP((J14+K14)/'Inputs'!$B$9,0))</f>
        <v>3</v>
      </c>
      <c r="Z14" s="3">
        <f>Y14*'Inputs'!$B$8/12</f>
        <v>45000.0</v>
      </c>
      <c r="AA14" s="3">
        <f>W14+X14+Z14</f>
        <v>161666.66666666666</v>
      </c>
      <c r="AB14" s="3">
        <f>R14*('Inputs'!$B$19+'Inputs'!$B$20*'Inputs'!$B$21+'Inputs'!$B$22*'Inputs'!$B$11+'Inputs'!$B$23+'Inputs'!$B$24)</f>
        <v>0.0</v>
      </c>
      <c r="AC14" s="3">
        <f>U14*'Inputs'!$B$26</f>
        <v>6250.0</v>
      </c>
      <c r="AD14" s="3">
        <f>AA14+AB14+AC14</f>
        <v>167916.66666666666</v>
      </c>
      <c r="AE14" s="3">
        <f>V14-AD14</f>
        <v>107083.33333333334</v>
      </c>
      <c r="AF14" s="3">
        <f>'Inputs'!$B$28/12</f>
        <v>16500.0</v>
      </c>
      <c r="AG14" s="3">
        <f>'Inputs'!$B$72/12</f>
        <v>75000.0</v>
      </c>
      <c r="AH14" s="3">
        <f>'Inputs'!$B$31/12</f>
        <v>15000.0</v>
      </c>
      <c r="AI14" s="3">
        <f>'Inputs'!$B$34/12</f>
        <v>6666.666666666667</v>
      </c>
      <c r="AJ14" s="3">
        <f>'Inputs'!$B$37/12</f>
        <v>7500.0</v>
      </c>
      <c r="AK14" s="3">
        <f>MAX(1,ROUNDUP((SUM($D$14:$D$25)+0.5*SUM($E$14:$E$25))/'Inputs'!$B$40,0))</f>
        <v>3</v>
      </c>
      <c r="AL14" s="3">
        <f>AK14*'Inputs'!$B$39/12</f>
        <v>45000.0</v>
      </c>
      <c r="AM14" s="3">
        <f>D14*'Inputs'!$B$41+E14*'Inputs'!$B$42</f>
        <v>15000</v>
      </c>
      <c r="AN14" s="3">
        <f>0</f>
        <v>0</v>
      </c>
      <c r="AO14" s="3">
        <f>AF14+AG14+AH14+AI14+AJ14+AL14+AM14+AN14</f>
        <v>180666.6666666667</v>
      </c>
      <c r="AP14" s="3">
        <f>AE14-AO14</f>
        <v>-73583.33333333334</v>
      </c>
      <c r="AQ14" s="3">
        <f>(D14+L14)*'Inputs'!$B$64/4</f>
        <v>375000.0</v>
      </c>
      <c r="AR14" s="3">
        <f>(E14*'Inputs'!$B$25+R14*(1-'Inputs'!$B$25))*'Inputs'!$B$65</f>
        <v>0.0</v>
      </c>
      <c r="AS14" s="3">
        <f>AQ14+AR14+U14</f>
        <v>400000.0</v>
      </c>
      <c r="AT14" s="3">
        <f>IF(A14&gt;'Inputs'!$B$5,INDEX($AS$2:$AS$37,MAX(1,A14-'Inputs'!$B$5)),0)</f>
        <v>187500.0</v>
      </c>
      <c r="AU14" s="3">
        <f>'Inputs'!$B$66*(O14*'Inputs'!$B$53+P14*(1-'Inputs'!$B$53)/3+Q14/4)</f>
        <v>133466.66666666666</v>
      </c>
      <c r="AV14" s="3">
        <f>(E14+E13)*('Inputs'!$B$19+'Inputs'!$B$20*'Inputs'!$B$21+'Inputs'!$B$22*'Inputs'!$B$11+'Inputs'!$B$23+'Inputs'!$B$24)/2</f>
        <v>47083.333333333336</v>
      </c>
      <c r="AW14" s="3">
        <f>AU14+X14+Z14+AV14+AC14+AO14</f>
        <v>455800.0</v>
      </c>
      <c r="AX14" s="3">
        <f>AT14-AW14</f>
        <v>-268300.0</v>
      </c>
      <c r="AY14" s="3">
        <f>AY13+AX14</f>
        <v>-1866750.0</v>
      </c>
      <c r="AZ14" s="3">
        <f>AZ13+AS14-AT14</f>
        <v>830000.0</v>
      </c>
      <c r="BA14" s="3">
        <f>BA13+AQ14+AR14-S14-T14</f>
        <v>742500.0</v>
      </c>
      <c r="BB14" s="3">
        <f>BB13+AU14-W14</f>
        <v>319000.00000000006</v>
      </c>
      <c r="BC14" s="3">
        <f>BC13+AV14-AB14</f>
        <v>94166.66666666667</v>
      </c>
      <c r="BD14" s="3">
        <f>J14*'Inputs'!$B$64</f>
        <v>3000000.0</v>
      </c>
      <c r="BE14" s="3">
        <f>(J14+K14)/'Inputs'!$B$9</f>
        <v>3.0</v>
      </c>
      <c r="BF14" s="3">
        <f>J14*'Inputs'!$B$12</f>
        <v>0.8</v>
      </c>
      <c r="BG14" s="3">
        <f>J14*'Inputs'!$B$14</f>
        <v>0.8</v>
      </c>
      <c r="BH14" s="3">
        <f>J14*'Inputs'!$B$10/12+E14*'Inputs'!$B$22</f>
        <v>3.3333333333333335</v>
      </c>
      <c r="BI14" s="3">
        <f>'Inputs'!$B$6*'Inputs'!$B$7*(F14*('Inputs'!$B$49+'Inputs'!$B$47)+L14*('Inputs'!$B$49+'Inputs'!$B$48))+E14*'Inputs'!$B$46*'Inputs'!$B$18</f>
        <v>4320.0</v>
      </c>
    </row>
    <row r="15" spans="1:61">
      <c r="A15">
        <v>14</v>
      </c>
      <c r="B15" t="s">
        <v>189</v>
      </c>
      <c r="C15">
        <v>2</v>
      </c>
      <c r="D15" s="2">
        <v>1</v>
      </c>
      <c r="E15" s="2">
        <v>1</v>
      </c>
      <c r="F15" s="3">
        <f>IF(A15&gt;'Inputs'!$B$3,INDEX($D$2:$D$37,MAX(1,A15-'Inputs'!$B$3)),0)</f>
        <v>1</v>
      </c>
      <c r="G15" s="3">
        <f>F3+H3</f>
        <v>0.0</v>
      </c>
      <c r="H15" s="3">
        <f>G15*(1-'Inputs'!$B$68)</f>
        <v>0.0</v>
      </c>
      <c r="I15" s="3">
        <f>G15-H15</f>
        <v>0.0</v>
      </c>
      <c r="J15" s="3">
        <f>J14+F15-I15</f>
        <v>5.0</v>
      </c>
      <c r="K15" s="3">
        <f>SUM($D$2:D15)-SUM($F$2:F15)</f>
        <v>2</v>
      </c>
      <c r="L15" s="3">
        <f>F12+H12+F9+H9+F6+H6+H15</f>
        <v>1.0</v>
      </c>
      <c r="M15" s="3">
        <f>F15+L15</f>
        <v>2.0</v>
      </c>
      <c r="N15" s="3">
        <f>IF(A15+1&gt;'Inputs'!$B$3,INDEX($D$2:$D$37,MAX(1,A15+1-'Inputs'!$B$3)),0)+F13+H13+F10+H10+F7+H7+(F4+H4)*(1-'Inputs'!$B$68)</f>
        <v>1.85</v>
      </c>
      <c r="O15" s="3">
        <f>IF(A15+1&gt;'Inputs'!$B$3,INDEX($D$2:$D$37,MAX(1,A15+1-'Inputs'!$B$3)),0)</f>
        <v>1</v>
      </c>
      <c r="P15" s="3">
        <f>F13+F10+F7</f>
        <v>0</v>
      </c>
      <c r="Q15" s="3">
        <f>H13+H10+H7+(F4+H4)*(1-'Inputs'!$B$68)</f>
        <v>0.85</v>
      </c>
      <c r="R15" s="3">
        <f>IF(A15&gt;'Inputs'!$B$4,INDEX($E$2:$E$37,MAX(1,A15-'Inputs'!$B$4)),0)</f>
        <v>1</v>
      </c>
      <c r="S15" s="3">
        <f>J15*'Inputs'!$B$64/12</f>
        <v>312500.0</v>
      </c>
      <c r="T15" s="3">
        <f>R15*'Inputs'!$B$65</f>
        <v>110000</v>
      </c>
      <c r="U15" s="3">
        <f>S15*IF(C15&gt;1,'Inputs'!$B$70,0)</f>
        <v>31250.0</v>
      </c>
      <c r="V15" s="3">
        <f>SUM(S15:U15)</f>
        <v>453750.0</v>
      </c>
      <c r="W15" s="3">
        <f>J15*'Inputs'!$B$66/12</f>
        <v>91666.66666666667</v>
      </c>
      <c r="X15" s="3">
        <f>J15*('Inputs'!$B$66*'Inputs'!$B$17+'Inputs'!$B$10*'Inputs'!$B$11+'Inputs'!$B$12*'Inputs'!$B$13+'Inputs'!$B$14*'Inputs'!$B$15+'Inputs'!$B$67+'Inputs'!$B$16)/12</f>
        <v>54166.666666666664</v>
      </c>
      <c r="Y15" s="3">
        <f>MAX(Y14,ROUNDUP((J15+K15)/'Inputs'!$B$9,0))</f>
        <v>4</v>
      </c>
      <c r="Z15" s="3">
        <f>Y15*'Inputs'!$B$8/12</f>
        <v>60000.0</v>
      </c>
      <c r="AA15" s="3">
        <f>W15+X15+Z15</f>
        <v>205833.33333333334</v>
      </c>
      <c r="AB15" s="3">
        <f>R15*('Inputs'!$B$19+'Inputs'!$B$20*'Inputs'!$B$21+'Inputs'!$B$22*'Inputs'!$B$11+'Inputs'!$B$23+'Inputs'!$B$24)</f>
        <v>94166.66666666667</v>
      </c>
      <c r="AC15" s="3">
        <f>U15*'Inputs'!$B$26</f>
        <v>7812.5</v>
      </c>
      <c r="AD15" s="3">
        <f>AA15+AB15+AC15</f>
        <v>307812.5</v>
      </c>
      <c r="AE15" s="3">
        <f>V15-AD15</f>
        <v>145937.5</v>
      </c>
      <c r="AF15" s="3">
        <f>'Inputs'!$B$28/12</f>
        <v>16500.0</v>
      </c>
      <c r="AG15" s="3">
        <f>'Inputs'!$B$72/12</f>
        <v>75000.0</v>
      </c>
      <c r="AH15" s="3">
        <f>'Inputs'!$B$31/12</f>
        <v>15000.0</v>
      </c>
      <c r="AI15" s="3">
        <f>'Inputs'!$B$34/12</f>
        <v>6666.666666666667</v>
      </c>
      <c r="AJ15" s="3">
        <f>'Inputs'!$B$37/12</f>
        <v>7500.0</v>
      </c>
      <c r="AK15" s="3">
        <f>MAX(1,ROUNDUP((SUM($D$14:$D$25)+0.5*SUM($E$14:$E$25))/'Inputs'!$B$40,0))</f>
        <v>3</v>
      </c>
      <c r="AL15" s="3">
        <f>AK15*'Inputs'!$B$39/12</f>
        <v>45000.0</v>
      </c>
      <c r="AM15" s="3">
        <f>D15*'Inputs'!$B$41+E15*'Inputs'!$B$42</f>
        <v>20000</v>
      </c>
      <c r="AN15" s="3">
        <f>0</f>
        <v>0</v>
      </c>
      <c r="AO15" s="3">
        <f>AF15+AG15+AH15+AI15+AJ15+AL15+AM15+AN15</f>
        <v>185666.6666666667</v>
      </c>
      <c r="AP15" s="3">
        <f>AE15-AO15</f>
        <v>-39729.166666666686</v>
      </c>
      <c r="AQ15" s="3">
        <f>(D15+L15)*'Inputs'!$B$64/4</f>
        <v>375000.0</v>
      </c>
      <c r="AR15" s="3">
        <f>(E15*'Inputs'!$B$25+R15*(1-'Inputs'!$B$25))*'Inputs'!$B$65</f>
        <v>110000.0</v>
      </c>
      <c r="AS15" s="3">
        <f>AQ15+AR15+U15</f>
        <v>516250.0</v>
      </c>
      <c r="AT15" s="3">
        <f>IF(A15&gt;'Inputs'!$B$5,INDEX($AS$2:$AS$37,MAX(1,A15-'Inputs'!$B$5)),0)</f>
        <v>430000.0</v>
      </c>
      <c r="AU15" s="3">
        <f>'Inputs'!$B$66*(O15*'Inputs'!$B$53+P15*(1-'Inputs'!$B$53)/3+Q15/4)</f>
        <v>136950.0</v>
      </c>
      <c r="AV15" s="3">
        <f>(E15+E14)*('Inputs'!$B$19+'Inputs'!$B$20*'Inputs'!$B$21+'Inputs'!$B$22*'Inputs'!$B$11+'Inputs'!$B$23+'Inputs'!$B$24)/2</f>
        <v>47083.333333333336</v>
      </c>
      <c r="AW15" s="3">
        <f>AU15+X15+Z15+AV15+AC15+AO15</f>
        <v>491679.1666666667</v>
      </c>
      <c r="AX15" s="3">
        <f>AT15-AW15</f>
        <v>-61679.166666666686</v>
      </c>
      <c r="AY15" s="3">
        <f>AY14+AX15</f>
        <v>-1928429.1666666667</v>
      </c>
      <c r="AZ15" s="3">
        <f>AZ14+AS15-AT15</f>
        <v>916250.0</v>
      </c>
      <c r="BA15" s="3">
        <f>BA14+AQ15+AR15-S15-T15</f>
        <v>805000.0</v>
      </c>
      <c r="BB15" s="3">
        <f>BB14+AU15-W15</f>
        <v>364283.3333333334</v>
      </c>
      <c r="BC15" s="3">
        <f>BC14+AV15-AB15</f>
        <v>47083.33333333333</v>
      </c>
      <c r="BD15" s="3">
        <f>J15*'Inputs'!$B$64</f>
        <v>3750000.0</v>
      </c>
      <c r="BE15" s="3">
        <f>(J15+K15)/'Inputs'!$B$9</f>
        <v>3.5</v>
      </c>
      <c r="BF15" s="3">
        <f>J15*'Inputs'!$B$12</f>
        <v>1.0</v>
      </c>
      <c r="BG15" s="3">
        <f>J15*'Inputs'!$B$14</f>
        <v>1.0</v>
      </c>
      <c r="BH15" s="3">
        <f>J15*'Inputs'!$B$10/12+E15*'Inputs'!$B$22</f>
        <v>9.833333333333332</v>
      </c>
      <c r="BI15" s="3">
        <f>'Inputs'!$B$6*'Inputs'!$B$7*(F15*('Inputs'!$B$49+'Inputs'!$B$47)+L15*('Inputs'!$B$49+'Inputs'!$B$48))+E15*'Inputs'!$B$46*'Inputs'!$B$18</f>
        <v>6080.0</v>
      </c>
    </row>
    <row r="16" spans="1:61">
      <c r="A16">
        <v>15</v>
      </c>
      <c r="B16" t="s">
        <v>190</v>
      </c>
      <c r="C16">
        <v>2</v>
      </c>
      <c r="D16" s="2">
        <v>1</v>
      </c>
      <c r="E16" s="2">
        <v>1</v>
      </c>
      <c r="F16" s="3">
        <f>IF(A16&gt;'Inputs'!$B$3,INDEX($D$2:$D$37,MAX(1,A16-'Inputs'!$B$3)),0)</f>
        <v>1</v>
      </c>
      <c r="G16" s="3">
        <f>F4+H4</f>
        <v>1.0</v>
      </c>
      <c r="H16" s="3">
        <f>G16*(1-'Inputs'!$B$68)</f>
        <v>0.85</v>
      </c>
      <c r="I16" s="3">
        <f>G16-H16</f>
        <v>0.15000000000000002</v>
      </c>
      <c r="J16" s="3">
        <f>J15+F16-I16</f>
        <v>5.85</v>
      </c>
      <c r="K16" s="3">
        <f>SUM($D$2:D16)-SUM($F$2:F16)</f>
        <v>2</v>
      </c>
      <c r="L16" s="3">
        <f>F13+H13+F10+H10+F7+H7+H16</f>
        <v>0.85</v>
      </c>
      <c r="M16" s="3">
        <f>F16+L16</f>
        <v>1.85</v>
      </c>
      <c r="N16" s="3">
        <f>IF(A16+1&gt;'Inputs'!$B$3,INDEX($D$2:$D$37,MAX(1,A16+1-'Inputs'!$B$3)),0)+F14+H14+F11+H11+F8+H8+(F5+H5)*(1-'Inputs'!$B$68)</f>
        <v>3.0</v>
      </c>
      <c r="O16" s="3">
        <f>IF(A16+1&gt;'Inputs'!$B$3,INDEX($D$2:$D$37,MAX(1,A16+1-'Inputs'!$B$3)),0)</f>
        <v>1</v>
      </c>
      <c r="P16" s="3">
        <f>F14+F11+F8</f>
        <v>2</v>
      </c>
      <c r="Q16" s="3">
        <f>H14+H11+H8+(F5+H5)*(1-'Inputs'!$B$68)</f>
        <v>0.0</v>
      </c>
      <c r="R16" s="3">
        <f>IF(A16&gt;'Inputs'!$B$4,INDEX($E$2:$E$37,MAX(1,A16-'Inputs'!$B$4)),0)</f>
        <v>0</v>
      </c>
      <c r="S16" s="3">
        <f>J16*'Inputs'!$B$64/12</f>
        <v>365625.0</v>
      </c>
      <c r="T16" s="3">
        <f>R16*'Inputs'!$B$65</f>
        <v>0</v>
      </c>
      <c r="U16" s="3">
        <f>S16*IF(C16&gt;1,'Inputs'!$B$70,0)</f>
        <v>36562.5</v>
      </c>
      <c r="V16" s="3">
        <f>SUM(S16:U16)</f>
        <v>402187.5</v>
      </c>
      <c r="W16" s="3">
        <f>J16*'Inputs'!$B$66/12</f>
        <v>107250.0</v>
      </c>
      <c r="X16" s="3">
        <f>J16*('Inputs'!$B$66*'Inputs'!$B$17+'Inputs'!$B$10*'Inputs'!$B$11+'Inputs'!$B$12*'Inputs'!$B$13+'Inputs'!$B$14*'Inputs'!$B$15+'Inputs'!$B$67+'Inputs'!$B$16)/12</f>
        <v>63375.0</v>
      </c>
      <c r="Y16" s="3">
        <f>MAX(Y15,ROUNDUP((J16+K16)/'Inputs'!$B$9,0))</f>
        <v>4</v>
      </c>
      <c r="Z16" s="3">
        <f>Y16*'Inputs'!$B$8/12</f>
        <v>60000.0</v>
      </c>
      <c r="AA16" s="3">
        <f>W16+X16+Z16</f>
        <v>230625.0</v>
      </c>
      <c r="AB16" s="3">
        <f>R16*('Inputs'!$B$19+'Inputs'!$B$20*'Inputs'!$B$21+'Inputs'!$B$22*'Inputs'!$B$11+'Inputs'!$B$23+'Inputs'!$B$24)</f>
        <v>0.0</v>
      </c>
      <c r="AC16" s="3">
        <f>U16*'Inputs'!$B$26</f>
        <v>9140.625</v>
      </c>
      <c r="AD16" s="3">
        <f>AA16+AB16+AC16</f>
        <v>239765.625</v>
      </c>
      <c r="AE16" s="3">
        <f>V16-AD16</f>
        <v>162421.875</v>
      </c>
      <c r="AF16" s="3">
        <f>'Inputs'!$B$28/12</f>
        <v>16500.0</v>
      </c>
      <c r="AG16" s="3">
        <f>'Inputs'!$B$72/12</f>
        <v>75000.0</v>
      </c>
      <c r="AH16" s="3">
        <f>'Inputs'!$B$31/12</f>
        <v>15000.0</v>
      </c>
      <c r="AI16" s="3">
        <f>'Inputs'!$B$34/12</f>
        <v>6666.666666666667</v>
      </c>
      <c r="AJ16" s="3">
        <f>'Inputs'!$B$37/12</f>
        <v>7500.0</v>
      </c>
      <c r="AK16" s="3">
        <f>MAX(1,ROUNDUP((SUM($D$14:$D$25)+0.5*SUM($E$14:$E$25))/'Inputs'!$B$40,0))</f>
        <v>3</v>
      </c>
      <c r="AL16" s="3">
        <f>AK16*'Inputs'!$B$39/12</f>
        <v>45000.0</v>
      </c>
      <c r="AM16" s="3">
        <f>D16*'Inputs'!$B$41+E16*'Inputs'!$B$42</f>
        <v>20000</v>
      </c>
      <c r="AN16" s="3">
        <f>0</f>
        <v>0</v>
      </c>
      <c r="AO16" s="3">
        <f>AF16+AG16+AH16+AI16+AJ16+AL16+AM16+AN16</f>
        <v>185666.6666666667</v>
      </c>
      <c r="AP16" s="3">
        <f>AE16-AO16</f>
        <v>-23244.791666666686</v>
      </c>
      <c r="AQ16" s="3">
        <f>(D16+L16)*'Inputs'!$B$64/4</f>
        <v>346875.0</v>
      </c>
      <c r="AR16" s="3">
        <f>(E16*'Inputs'!$B$25+R16*(1-'Inputs'!$B$25))*'Inputs'!$B$65</f>
        <v>55000.0</v>
      </c>
      <c r="AS16" s="3">
        <f>AQ16+AR16+U16</f>
        <v>438437.5</v>
      </c>
      <c r="AT16" s="3">
        <f>IF(A16&gt;'Inputs'!$B$5,INDEX($AS$2:$AS$37,MAX(1,A16-'Inputs'!$B$5)),0)</f>
        <v>400000.0</v>
      </c>
      <c r="AU16" s="3">
        <f>'Inputs'!$B$66*(O16*'Inputs'!$B$53+P16*(1-'Inputs'!$B$53)/3+Q16/4)</f>
        <v>176733.33333333334</v>
      </c>
      <c r="AV16" s="3">
        <f>(E16+E15)*('Inputs'!$B$19+'Inputs'!$B$20*'Inputs'!$B$21+'Inputs'!$B$22*'Inputs'!$B$11+'Inputs'!$B$23+'Inputs'!$B$24)/2</f>
        <v>94166.66666666667</v>
      </c>
      <c r="AW16" s="3">
        <f>AU16+X16+Z16+AV16+AC16+AO16</f>
        <v>589082.2916666667</v>
      </c>
      <c r="AX16" s="3">
        <f>AT16-AW16</f>
        <v>-189082.29166666674</v>
      </c>
      <c r="AY16" s="3">
        <f>AY15+AX16</f>
        <v>-2117511.4583333335</v>
      </c>
      <c r="AZ16" s="3">
        <f>AZ15+AS16-AT16</f>
        <v>954687.5</v>
      </c>
      <c r="BA16" s="3">
        <f>BA15+AQ16+AR16-S16-T16</f>
        <v>841250.0</v>
      </c>
      <c r="BB16" s="3">
        <f>BB15+AU16-W16</f>
        <v>433766.66666666674</v>
      </c>
      <c r="BC16" s="3">
        <f>BC15+AV16-AB16</f>
        <v>141250.0</v>
      </c>
      <c r="BD16" s="3">
        <f>J16*'Inputs'!$B$64</f>
        <v>4387500.0</v>
      </c>
      <c r="BE16" s="3">
        <f>(J16+K16)/'Inputs'!$B$9</f>
        <v>3.925</v>
      </c>
      <c r="BF16" s="3">
        <f>J16*'Inputs'!$B$12</f>
        <v>1.17</v>
      </c>
      <c r="BG16" s="3">
        <f>J16*'Inputs'!$B$14</f>
        <v>1.17</v>
      </c>
      <c r="BH16" s="3">
        <f>J16*'Inputs'!$B$10/12+E16*'Inputs'!$B$22</f>
        <v>10.541666666666666</v>
      </c>
      <c r="BI16" s="3">
        <f>'Inputs'!$B$6*'Inputs'!$B$7*(F16*('Inputs'!$B$49+'Inputs'!$B$47)+L16*('Inputs'!$B$49+'Inputs'!$B$48))+E16*'Inputs'!$B$46*'Inputs'!$B$18</f>
        <v>5792.0</v>
      </c>
    </row>
    <row r="17" spans="1:61">
      <c r="A17">
        <v>16</v>
      </c>
      <c r="B17" t="s">
        <v>191</v>
      </c>
      <c r="C17">
        <v>2</v>
      </c>
      <c r="D17" s="2">
        <v>1</v>
      </c>
      <c r="E17" s="2">
        <v>0</v>
      </c>
      <c r="F17" s="3">
        <f>IF(A17&gt;'Inputs'!$B$3,INDEX($D$2:$D$37,MAX(1,A17-'Inputs'!$B$3)),0)</f>
        <v>1</v>
      </c>
      <c r="G17" s="3">
        <f>F5+H5</f>
        <v>0.0</v>
      </c>
      <c r="H17" s="3">
        <f>G17*(1-'Inputs'!$B$68)</f>
        <v>0.0</v>
      </c>
      <c r="I17" s="3">
        <f>G17-H17</f>
        <v>0.0</v>
      </c>
      <c r="J17" s="3">
        <f>J16+F17-I17</f>
        <v>6.85</v>
      </c>
      <c r="K17" s="3">
        <f>SUM($D$2:D17)-SUM($F$2:F17)</f>
        <v>2</v>
      </c>
      <c r="L17" s="3">
        <f>F14+H14+F11+H11+F8+H8+H17</f>
        <v>2.0</v>
      </c>
      <c r="M17" s="3">
        <f>F17+L17</f>
        <v>3.0</v>
      </c>
      <c r="N17" s="3">
        <f>IF(A17+1&gt;'Inputs'!$B$3,INDEX($D$2:$D$37,MAX(1,A17+1-'Inputs'!$B$3)),0)+F15+H15+F12+H12+F9+H9+(F6+H6)*(1-'Inputs'!$B$68)</f>
        <v>3.0</v>
      </c>
      <c r="O17" s="3">
        <f>IF(A17+1&gt;'Inputs'!$B$3,INDEX($D$2:$D$37,MAX(1,A17+1-'Inputs'!$B$3)),0)</f>
        <v>1</v>
      </c>
      <c r="P17" s="3">
        <f>F15+F12+F9</f>
        <v>2</v>
      </c>
      <c r="Q17" s="3">
        <f>H15+H12+H9+(F6+H6)*(1-'Inputs'!$B$68)</f>
        <v>0.0</v>
      </c>
      <c r="R17" s="3">
        <f>IF(A17&gt;'Inputs'!$B$4,INDEX($E$2:$E$37,MAX(1,A17-'Inputs'!$B$4)),0)</f>
        <v>1</v>
      </c>
      <c r="S17" s="3">
        <f>J17*'Inputs'!$B$64/12</f>
        <v>428125.0</v>
      </c>
      <c r="T17" s="3">
        <f>R17*'Inputs'!$B$65</f>
        <v>110000</v>
      </c>
      <c r="U17" s="3">
        <f>S17*IF(C17&gt;1,'Inputs'!$B$70,0)</f>
        <v>42812.5</v>
      </c>
      <c r="V17" s="3">
        <f>SUM(S17:U17)</f>
        <v>580937.5</v>
      </c>
      <c r="W17" s="3">
        <f>J17*'Inputs'!$B$66/12</f>
        <v>125583.33333333333</v>
      </c>
      <c r="X17" s="3">
        <f>J17*('Inputs'!$B$66*'Inputs'!$B$17+'Inputs'!$B$10*'Inputs'!$B$11+'Inputs'!$B$12*'Inputs'!$B$13+'Inputs'!$B$14*'Inputs'!$B$15+'Inputs'!$B$67+'Inputs'!$B$16)/12</f>
        <v>74208.33333333333</v>
      </c>
      <c r="Y17" s="3">
        <f>MAX(Y16,ROUNDUP((J17+K17)/'Inputs'!$B$9,0))</f>
        <v>5</v>
      </c>
      <c r="Z17" s="3">
        <f>Y17*'Inputs'!$B$8/12</f>
        <v>75000.0</v>
      </c>
      <c r="AA17" s="3">
        <f>W17+X17+Z17</f>
        <v>274791.6666666666</v>
      </c>
      <c r="AB17" s="3">
        <f>R17*('Inputs'!$B$19+'Inputs'!$B$20*'Inputs'!$B$21+'Inputs'!$B$22*'Inputs'!$B$11+'Inputs'!$B$23+'Inputs'!$B$24)</f>
        <v>94166.66666666667</v>
      </c>
      <c r="AC17" s="3">
        <f>U17*'Inputs'!$B$26</f>
        <v>10703.125</v>
      </c>
      <c r="AD17" s="3">
        <f>AA17+AB17+AC17</f>
        <v>379661.4583333333</v>
      </c>
      <c r="AE17" s="3">
        <f>V17-AD17</f>
        <v>201276.0416666667</v>
      </c>
      <c r="AF17" s="3">
        <f>'Inputs'!$B$28/12</f>
        <v>16500.0</v>
      </c>
      <c r="AG17" s="3">
        <f>'Inputs'!$B$72/12</f>
        <v>75000.0</v>
      </c>
      <c r="AH17" s="3">
        <f>'Inputs'!$B$31/12</f>
        <v>15000.0</v>
      </c>
      <c r="AI17" s="3">
        <f>'Inputs'!$B$34/12</f>
        <v>6666.666666666667</v>
      </c>
      <c r="AJ17" s="3">
        <f>'Inputs'!$B$37/12</f>
        <v>7500.0</v>
      </c>
      <c r="AK17" s="3">
        <f>MAX(1,ROUNDUP((SUM($D$14:$D$25)+0.5*SUM($E$14:$E$25))/'Inputs'!$B$40,0))</f>
        <v>3</v>
      </c>
      <c r="AL17" s="3">
        <f>AK17*'Inputs'!$B$39/12</f>
        <v>45000.0</v>
      </c>
      <c r="AM17" s="3">
        <f>D17*'Inputs'!$B$41+E17*'Inputs'!$B$42</f>
        <v>15000</v>
      </c>
      <c r="AN17" s="3">
        <f>0</f>
        <v>0</v>
      </c>
      <c r="AO17" s="3">
        <f>AF17+AG17+AH17+AI17+AJ17+AL17+AM17+AN17</f>
        <v>180666.6666666667</v>
      </c>
      <c r="AP17" s="3">
        <f>AE17-AO17</f>
        <v>20609.375</v>
      </c>
      <c r="AQ17" s="3">
        <f>(D17+L17)*'Inputs'!$B$64/4</f>
        <v>562500.0</v>
      </c>
      <c r="AR17" s="3">
        <f>(E17*'Inputs'!$B$25+R17*(1-'Inputs'!$B$25))*'Inputs'!$B$65</f>
        <v>55000.0</v>
      </c>
      <c r="AS17" s="3">
        <f>AQ17+AR17+U17</f>
        <v>660312.5</v>
      </c>
      <c r="AT17" s="3">
        <f>IF(A17&gt;'Inputs'!$B$5,INDEX($AS$2:$AS$37,MAX(1,A17-'Inputs'!$B$5)),0)</f>
        <v>516250.0</v>
      </c>
      <c r="AU17" s="3">
        <f>'Inputs'!$B$66*(O17*'Inputs'!$B$53+P17*(1-'Inputs'!$B$53)/3+Q17/4)</f>
        <v>176733.33333333334</v>
      </c>
      <c r="AV17" s="3">
        <f>(E17+E16)*('Inputs'!$B$19+'Inputs'!$B$20*'Inputs'!$B$21+'Inputs'!$B$22*'Inputs'!$B$11+'Inputs'!$B$23+'Inputs'!$B$24)/2</f>
        <v>47083.333333333336</v>
      </c>
      <c r="AW17" s="3">
        <f>AU17+X17+Z17+AV17+AC17+AO17</f>
        <v>564394.7916666667</v>
      </c>
      <c r="AX17" s="3">
        <f>AT17-AW17</f>
        <v>-48144.791666666744</v>
      </c>
      <c r="AY17" s="3">
        <f>AY16+AX17</f>
        <v>-2165656.25</v>
      </c>
      <c r="AZ17" s="3">
        <f>AZ16+AS17-AT17</f>
        <v>1098750.0</v>
      </c>
      <c r="BA17" s="3">
        <f>BA16+AQ17+AR17-S17-T17</f>
        <v>920625.0</v>
      </c>
      <c r="BB17" s="3">
        <f>BB16+AU17-W17</f>
        <v>484916.6666666668</v>
      </c>
      <c r="BC17" s="3">
        <f>BC16+AV17-AB17</f>
        <v>94166.66666666667</v>
      </c>
      <c r="BD17" s="3">
        <f>J17*'Inputs'!$B$64</f>
        <v>5137500.0</v>
      </c>
      <c r="BE17" s="3">
        <f>(J17+K17)/'Inputs'!$B$9</f>
        <v>4.425</v>
      </c>
      <c r="BF17" s="3">
        <f>J17*'Inputs'!$B$12</f>
        <v>1.37</v>
      </c>
      <c r="BG17" s="3">
        <f>J17*'Inputs'!$B$14</f>
        <v>1.37</v>
      </c>
      <c r="BH17" s="3">
        <f>J17*'Inputs'!$B$10/12+E17*'Inputs'!$B$22</f>
        <v>5.708333333333333</v>
      </c>
      <c r="BI17" s="3">
        <f>'Inputs'!$B$6*'Inputs'!$B$7*(F17*('Inputs'!$B$49+'Inputs'!$B$47)+L17*('Inputs'!$B$49+'Inputs'!$B$48))+E17*'Inputs'!$B$46*'Inputs'!$B$18</f>
        <v>6240.0</v>
      </c>
    </row>
    <row r="18" spans="1:61">
      <c r="A18">
        <v>17</v>
      </c>
      <c r="B18" t="s">
        <v>192</v>
      </c>
      <c r="C18">
        <v>2</v>
      </c>
      <c r="D18" s="2">
        <v>1</v>
      </c>
      <c r="E18" s="2">
        <v>1</v>
      </c>
      <c r="F18" s="3">
        <f>IF(A18&gt;'Inputs'!$B$3,INDEX($D$2:$D$37,MAX(1,A18-'Inputs'!$B$3)),0)</f>
        <v>1</v>
      </c>
      <c r="G18" s="3">
        <f>F6+H6</f>
        <v>0.0</v>
      </c>
      <c r="H18" s="3">
        <f>G18*(1-'Inputs'!$B$68)</f>
        <v>0.0</v>
      </c>
      <c r="I18" s="3">
        <f>G18-H18</f>
        <v>0.0</v>
      </c>
      <c r="J18" s="3">
        <f>J17+F18-I18</f>
        <v>7.85</v>
      </c>
      <c r="K18" s="3">
        <f>SUM($D$2:D18)-SUM($F$2:F18)</f>
        <v>2</v>
      </c>
      <c r="L18" s="3">
        <f>F15+H15+F12+H12+F9+H9+H18</f>
        <v>2.0</v>
      </c>
      <c r="M18" s="3">
        <f>F18+L18</f>
        <v>3.0</v>
      </c>
      <c r="N18" s="3">
        <f>IF(A18+1&gt;'Inputs'!$B$3,INDEX($D$2:$D$37,MAX(1,A18+1-'Inputs'!$B$3)),0)+F16+H16+F13+H13+F10+H10+(F7+H7)*(1-'Inputs'!$B$68)</f>
        <v>2.85</v>
      </c>
      <c r="O18" s="3">
        <f>IF(A18+1&gt;'Inputs'!$B$3,INDEX($D$2:$D$37,MAX(1,A18+1-'Inputs'!$B$3)),0)</f>
        <v>1</v>
      </c>
      <c r="P18" s="3">
        <f>F16+F13+F10</f>
        <v>1</v>
      </c>
      <c r="Q18" s="3">
        <f>H16+H13+H10+(F7+H7)*(1-'Inputs'!$B$68)</f>
        <v>0.85</v>
      </c>
      <c r="R18" s="3">
        <f>IF(A18&gt;'Inputs'!$B$4,INDEX($E$2:$E$37,MAX(1,A18-'Inputs'!$B$4)),0)</f>
        <v>1</v>
      </c>
      <c r="S18" s="3">
        <f>J18*'Inputs'!$B$64/12</f>
        <v>490625.0</v>
      </c>
      <c r="T18" s="3">
        <f>R18*'Inputs'!$B$65</f>
        <v>110000</v>
      </c>
      <c r="U18" s="3">
        <f>S18*IF(C18&gt;1,'Inputs'!$B$70,0)</f>
        <v>49062.5</v>
      </c>
      <c r="V18" s="3">
        <f>SUM(S18:U18)</f>
        <v>649687.5</v>
      </c>
      <c r="W18" s="3">
        <f>J18*'Inputs'!$B$66/12</f>
        <v>143916.66666666666</v>
      </c>
      <c r="X18" s="3">
        <f>J18*('Inputs'!$B$66*'Inputs'!$B$17+'Inputs'!$B$10*'Inputs'!$B$11+'Inputs'!$B$12*'Inputs'!$B$13+'Inputs'!$B$14*'Inputs'!$B$15+'Inputs'!$B$67+'Inputs'!$B$16)/12</f>
        <v>85041.66666666667</v>
      </c>
      <c r="Y18" s="3">
        <f>MAX(Y17,ROUNDUP((J18+K18)/'Inputs'!$B$9,0))</f>
        <v>5</v>
      </c>
      <c r="Z18" s="3">
        <f>Y18*'Inputs'!$B$8/12</f>
        <v>75000.0</v>
      </c>
      <c r="AA18" s="3">
        <f>W18+X18+Z18</f>
        <v>303958.3333333333</v>
      </c>
      <c r="AB18" s="3">
        <f>R18*('Inputs'!$B$19+'Inputs'!$B$20*'Inputs'!$B$21+'Inputs'!$B$22*'Inputs'!$B$11+'Inputs'!$B$23+'Inputs'!$B$24)</f>
        <v>94166.66666666667</v>
      </c>
      <c r="AC18" s="3">
        <f>U18*'Inputs'!$B$26</f>
        <v>12265.625</v>
      </c>
      <c r="AD18" s="3">
        <f>AA18+AB18+AC18</f>
        <v>410390.625</v>
      </c>
      <c r="AE18" s="3">
        <f>V18-AD18</f>
        <v>239296.875</v>
      </c>
      <c r="AF18" s="3">
        <f>'Inputs'!$B$28/12</f>
        <v>16500.0</v>
      </c>
      <c r="AG18" s="3">
        <f>'Inputs'!$B$72/12</f>
        <v>75000.0</v>
      </c>
      <c r="AH18" s="3">
        <f>'Inputs'!$B$31/12</f>
        <v>15000.0</v>
      </c>
      <c r="AI18" s="3">
        <f>'Inputs'!$B$34/12</f>
        <v>6666.666666666667</v>
      </c>
      <c r="AJ18" s="3">
        <f>'Inputs'!$B$37/12</f>
        <v>7500.0</v>
      </c>
      <c r="AK18" s="3">
        <f>MAX(1,ROUNDUP((SUM($D$14:$D$25)+0.5*SUM($E$14:$E$25))/'Inputs'!$B$40,0))</f>
        <v>3</v>
      </c>
      <c r="AL18" s="3">
        <f>AK18*'Inputs'!$B$39/12</f>
        <v>45000.0</v>
      </c>
      <c r="AM18" s="3">
        <f>D18*'Inputs'!$B$41+E18*'Inputs'!$B$42</f>
        <v>20000</v>
      </c>
      <c r="AN18" s="3">
        <f>0</f>
        <v>0</v>
      </c>
      <c r="AO18" s="3">
        <f>AF18+AG18+AH18+AI18+AJ18+AL18+AM18+AN18</f>
        <v>185666.6666666667</v>
      </c>
      <c r="AP18" s="3">
        <f>AE18-AO18</f>
        <v>53630.208333333314</v>
      </c>
      <c r="AQ18" s="3">
        <f>(D18+L18)*'Inputs'!$B$64/4</f>
        <v>562500.0</v>
      </c>
      <c r="AR18" s="3">
        <f>(E18*'Inputs'!$B$25+R18*(1-'Inputs'!$B$25))*'Inputs'!$B$65</f>
        <v>110000.0</v>
      </c>
      <c r="AS18" s="3">
        <f>AQ18+AR18+U18</f>
        <v>721562.5</v>
      </c>
      <c r="AT18" s="3">
        <f>IF(A18&gt;'Inputs'!$B$5,INDEX($AS$2:$AS$37,MAX(1,A18-'Inputs'!$B$5)),0)</f>
        <v>438437.5</v>
      </c>
      <c r="AU18" s="3">
        <f>'Inputs'!$B$66*(O18*'Inputs'!$B$53+P18*(1-'Inputs'!$B$53)/3+Q18/4)</f>
        <v>180216.6666666667</v>
      </c>
      <c r="AV18" s="3">
        <f>(E18+E17)*('Inputs'!$B$19+'Inputs'!$B$20*'Inputs'!$B$21+'Inputs'!$B$22*'Inputs'!$B$11+'Inputs'!$B$23+'Inputs'!$B$24)/2</f>
        <v>47083.333333333336</v>
      </c>
      <c r="AW18" s="3">
        <f>AU18+X18+Z18+AV18+AC18+AO18</f>
        <v>585273.9583333334</v>
      </c>
      <c r="AX18" s="3">
        <f>AT18-AW18</f>
        <v>-146836.45833333337</v>
      </c>
      <c r="AY18" s="3">
        <f>AY17+AX18</f>
        <v>-2312492.7083333335</v>
      </c>
      <c r="AZ18" s="3">
        <f>AZ17+AS18-AT18</f>
        <v>1381875.0</v>
      </c>
      <c r="BA18" s="3">
        <f>BA17+AQ18+AR18-S18-T18</f>
        <v>992500.0</v>
      </c>
      <c r="BB18" s="3">
        <f>BB17+AU18-W18</f>
        <v>521216.66666666686</v>
      </c>
      <c r="BC18" s="3">
        <f>BC17+AV18-AB18</f>
        <v>47083.33333333333</v>
      </c>
      <c r="BD18" s="3">
        <f>J18*'Inputs'!$B$64</f>
        <v>5887500.0</v>
      </c>
      <c r="BE18" s="3">
        <f>(J18+K18)/'Inputs'!$B$9</f>
        <v>4.925</v>
      </c>
      <c r="BF18" s="3">
        <f>J18*'Inputs'!$B$12</f>
        <v>1.57</v>
      </c>
      <c r="BG18" s="3">
        <f>J18*'Inputs'!$B$14</f>
        <v>1.57</v>
      </c>
      <c r="BH18" s="3">
        <f>J18*'Inputs'!$B$10/12+E18*'Inputs'!$B$22</f>
        <v>12.208333333333332</v>
      </c>
      <c r="BI18" s="3">
        <f>'Inputs'!$B$6*'Inputs'!$B$7*(F18*('Inputs'!$B$49+'Inputs'!$B$47)+L18*('Inputs'!$B$49+'Inputs'!$B$48))+E18*'Inputs'!$B$46*'Inputs'!$B$18</f>
        <v>8000.0</v>
      </c>
    </row>
    <row r="19" spans="1:61">
      <c r="A19">
        <v>18</v>
      </c>
      <c r="B19" t="s">
        <v>193</v>
      </c>
      <c r="C19">
        <v>2</v>
      </c>
      <c r="D19" s="2">
        <v>2</v>
      </c>
      <c r="E19" s="2">
        <v>1</v>
      </c>
      <c r="F19" s="3">
        <f>IF(A19&gt;'Inputs'!$B$3,INDEX($D$2:$D$37,MAX(1,A19-'Inputs'!$B$3)),0)</f>
        <v>1</v>
      </c>
      <c r="G19" s="3">
        <f>F7+H7</f>
        <v>0.0</v>
      </c>
      <c r="H19" s="3">
        <f>G19*(1-'Inputs'!$B$68)</f>
        <v>0.0</v>
      </c>
      <c r="I19" s="3">
        <f>G19-H19</f>
        <v>0.0</v>
      </c>
      <c r="J19" s="3">
        <f>J18+F19-I19</f>
        <v>8.85</v>
      </c>
      <c r="K19" s="3">
        <f>SUM($D$2:D19)-SUM($F$2:F19)</f>
        <v>3</v>
      </c>
      <c r="L19" s="3">
        <f>F16+H16+F13+H13+F10+H10+H19</f>
        <v>1.85</v>
      </c>
      <c r="M19" s="3">
        <f>F19+L19</f>
        <v>2.85</v>
      </c>
      <c r="N19" s="3">
        <f>IF(A19+1&gt;'Inputs'!$B$3,INDEX($D$2:$D$37,MAX(1,A19+1-'Inputs'!$B$3)),0)+F17+H17+F14+H14+F11+H11+(F8+H8)*(1-'Inputs'!$B$68)</f>
        <v>4.0</v>
      </c>
      <c r="O19" s="3">
        <f>IF(A19+1&gt;'Inputs'!$B$3,INDEX($D$2:$D$37,MAX(1,A19+1-'Inputs'!$B$3)),0)</f>
        <v>1</v>
      </c>
      <c r="P19" s="3">
        <f>F17+F14+F11</f>
        <v>3</v>
      </c>
      <c r="Q19" s="3">
        <f>H17+H14+H11+(F8+H8)*(1-'Inputs'!$B$68)</f>
        <v>0.0</v>
      </c>
      <c r="R19" s="3">
        <f>IF(A19&gt;'Inputs'!$B$4,INDEX($E$2:$E$37,MAX(1,A19-'Inputs'!$B$4)),0)</f>
        <v>0</v>
      </c>
      <c r="S19" s="3">
        <f>J19*'Inputs'!$B$64/12</f>
        <v>553125.0</v>
      </c>
      <c r="T19" s="3">
        <f>R19*'Inputs'!$B$65</f>
        <v>0</v>
      </c>
      <c r="U19" s="3">
        <f>S19*IF(C19&gt;1,'Inputs'!$B$70,0)</f>
        <v>55312.5</v>
      </c>
      <c r="V19" s="3">
        <f>SUM(S19:U19)</f>
        <v>608437.5</v>
      </c>
      <c r="W19" s="3">
        <f>J19*'Inputs'!$B$66/12</f>
        <v>162250.0</v>
      </c>
      <c r="X19" s="3">
        <f>J19*('Inputs'!$B$66*'Inputs'!$B$17+'Inputs'!$B$10*'Inputs'!$B$11+'Inputs'!$B$12*'Inputs'!$B$13+'Inputs'!$B$14*'Inputs'!$B$15+'Inputs'!$B$67+'Inputs'!$B$16)/12</f>
        <v>95875.0</v>
      </c>
      <c r="Y19" s="3">
        <f>MAX(Y18,ROUNDUP((J19+K19)/'Inputs'!$B$9,0))</f>
        <v>6</v>
      </c>
      <c r="Z19" s="3">
        <f>Y19*'Inputs'!$B$8/12</f>
        <v>90000.0</v>
      </c>
      <c r="AA19" s="3">
        <f>W19+X19+Z19</f>
        <v>348125.0</v>
      </c>
      <c r="AB19" s="3">
        <f>R19*('Inputs'!$B$19+'Inputs'!$B$20*'Inputs'!$B$21+'Inputs'!$B$22*'Inputs'!$B$11+'Inputs'!$B$23+'Inputs'!$B$24)</f>
        <v>0.0</v>
      </c>
      <c r="AC19" s="3">
        <f>U19*'Inputs'!$B$26</f>
        <v>13828.125</v>
      </c>
      <c r="AD19" s="3">
        <f>AA19+AB19+AC19</f>
        <v>361953.125</v>
      </c>
      <c r="AE19" s="3">
        <f>V19-AD19</f>
        <v>246484.375</v>
      </c>
      <c r="AF19" s="3">
        <f>'Inputs'!$B$28/12</f>
        <v>16500.0</v>
      </c>
      <c r="AG19" s="3">
        <f>'Inputs'!$B$72/12</f>
        <v>75000.0</v>
      </c>
      <c r="AH19" s="3">
        <f>'Inputs'!$B$31/12</f>
        <v>15000.0</v>
      </c>
      <c r="AI19" s="3">
        <f>'Inputs'!$B$34/12</f>
        <v>6666.666666666667</v>
      </c>
      <c r="AJ19" s="3">
        <f>'Inputs'!$B$37/12</f>
        <v>7500.0</v>
      </c>
      <c r="AK19" s="3">
        <f>MAX(1,ROUNDUP((SUM($D$14:$D$25)+0.5*SUM($E$14:$E$25))/'Inputs'!$B$40,0))</f>
        <v>3</v>
      </c>
      <c r="AL19" s="3">
        <f>AK19*'Inputs'!$B$39/12</f>
        <v>45000.0</v>
      </c>
      <c r="AM19" s="3">
        <f>D19*'Inputs'!$B$41+E19*'Inputs'!$B$42</f>
        <v>35000</v>
      </c>
      <c r="AN19" s="3">
        <f>0</f>
        <v>0</v>
      </c>
      <c r="AO19" s="3">
        <f>AF19+AG19+AH19+AI19+AJ19+AL19+AM19+AN19</f>
        <v>200666.6666666667</v>
      </c>
      <c r="AP19" s="3">
        <f>AE19-AO19</f>
        <v>45817.708333333314</v>
      </c>
      <c r="AQ19" s="3">
        <f>(D19+L19)*'Inputs'!$B$64/4</f>
        <v>721875.0</v>
      </c>
      <c r="AR19" s="3">
        <f>(E19*'Inputs'!$B$25+R19*(1-'Inputs'!$B$25))*'Inputs'!$B$65</f>
        <v>55000.0</v>
      </c>
      <c r="AS19" s="3">
        <f>AQ19+AR19+U19</f>
        <v>832187.5</v>
      </c>
      <c r="AT19" s="3">
        <f>IF(A19&gt;'Inputs'!$B$5,INDEX($AS$2:$AS$37,MAX(1,A19-'Inputs'!$B$5)),0)</f>
        <v>660312.5</v>
      </c>
      <c r="AU19" s="3">
        <f>'Inputs'!$B$66*(O19*'Inputs'!$B$53+P19*(1-'Inputs'!$B$53)/3+Q19/4)</f>
        <v>220000.0</v>
      </c>
      <c r="AV19" s="3">
        <f>(E19+E18)*('Inputs'!$B$19+'Inputs'!$B$20*'Inputs'!$B$21+'Inputs'!$B$22*'Inputs'!$B$11+'Inputs'!$B$23+'Inputs'!$B$24)/2</f>
        <v>94166.66666666667</v>
      </c>
      <c r="AW19" s="3">
        <f>AU19+X19+Z19+AV19+AC19+AO19</f>
        <v>714536.4583333334</v>
      </c>
      <c r="AX19" s="3">
        <f>AT19-AW19</f>
        <v>-54223.95833333337</v>
      </c>
      <c r="AY19" s="3">
        <f>AY18+AX19</f>
        <v>-2366716.666666667</v>
      </c>
      <c r="AZ19" s="3">
        <f>AZ18+AS19-AT19</f>
        <v>1553750.0</v>
      </c>
      <c r="BA19" s="3">
        <f>BA18+AQ19+AR19-S19-T19</f>
        <v>1216250.0</v>
      </c>
      <c r="BB19" s="3">
        <f>BB18+AU19-W19</f>
        <v>578966.6666666669</v>
      </c>
      <c r="BC19" s="3">
        <f>BC18+AV19-AB19</f>
        <v>141250.0</v>
      </c>
      <c r="BD19" s="3">
        <f>J19*'Inputs'!$B$64</f>
        <v>6637500.0</v>
      </c>
      <c r="BE19" s="3">
        <f>(J19+K19)/'Inputs'!$B$9</f>
        <v>5.925</v>
      </c>
      <c r="BF19" s="3">
        <f>J19*'Inputs'!$B$12</f>
        <v>1.77</v>
      </c>
      <c r="BG19" s="3">
        <f>J19*'Inputs'!$B$14</f>
        <v>1.77</v>
      </c>
      <c r="BH19" s="3">
        <f>J19*'Inputs'!$B$10/12+E19*'Inputs'!$B$22</f>
        <v>13.041666666666666</v>
      </c>
      <c r="BI19" s="3">
        <f>'Inputs'!$B$6*'Inputs'!$B$7*(F19*('Inputs'!$B$49+'Inputs'!$B$47)+L19*('Inputs'!$B$49+'Inputs'!$B$48))+E19*'Inputs'!$B$46*'Inputs'!$B$18</f>
        <v>7712.0</v>
      </c>
    </row>
    <row r="20" spans="1:61">
      <c r="A20">
        <v>19</v>
      </c>
      <c r="B20" t="s">
        <v>194</v>
      </c>
      <c r="C20">
        <v>2</v>
      </c>
      <c r="D20" s="2">
        <v>1</v>
      </c>
      <c r="E20" s="2">
        <v>0</v>
      </c>
      <c r="F20" s="3">
        <f>IF(A20&gt;'Inputs'!$B$3,INDEX($D$2:$D$37,MAX(1,A20-'Inputs'!$B$3)),0)</f>
        <v>1</v>
      </c>
      <c r="G20" s="3">
        <f>F8+H8</f>
        <v>0.0</v>
      </c>
      <c r="H20" s="3">
        <f>G20*(1-'Inputs'!$B$68)</f>
        <v>0.0</v>
      </c>
      <c r="I20" s="3">
        <f>G20-H20</f>
        <v>0.0</v>
      </c>
      <c r="J20" s="3">
        <f>J19+F20-I20</f>
        <v>9.85</v>
      </c>
      <c r="K20" s="3">
        <f>SUM($D$2:D20)-SUM($F$2:F20)</f>
        <v>3</v>
      </c>
      <c r="L20" s="3">
        <f>F17+H17+F14+H14+F11+H11+H20</f>
        <v>3.0</v>
      </c>
      <c r="M20" s="3">
        <f>F20+L20</f>
        <v>4.0</v>
      </c>
      <c r="N20" s="3">
        <f>IF(A20+1&gt;'Inputs'!$B$3,INDEX($D$2:$D$37,MAX(1,A20+1-'Inputs'!$B$3)),0)+F18+H18+F15+H15+F12+H12+(F9+H9)*(1-'Inputs'!$B$68)</f>
        <v>5.0</v>
      </c>
      <c r="O20" s="3">
        <f>IF(A20+1&gt;'Inputs'!$B$3,INDEX($D$2:$D$37,MAX(1,A20+1-'Inputs'!$B$3)),0)</f>
        <v>2</v>
      </c>
      <c r="P20" s="3">
        <f>F18+F15+F12</f>
        <v>3</v>
      </c>
      <c r="Q20" s="3">
        <f>H18+H15+H12+(F9+H9)*(1-'Inputs'!$B$68)</f>
        <v>0.0</v>
      </c>
      <c r="R20" s="3">
        <f>IF(A20&gt;'Inputs'!$B$4,INDEX($E$2:$E$37,MAX(1,A20-'Inputs'!$B$4)),0)</f>
        <v>1</v>
      </c>
      <c r="S20" s="3">
        <f>J20*'Inputs'!$B$64/12</f>
        <v>615625.0</v>
      </c>
      <c r="T20" s="3">
        <f>R20*'Inputs'!$B$65</f>
        <v>110000</v>
      </c>
      <c r="U20" s="3">
        <f>S20*IF(C20&gt;1,'Inputs'!$B$70,0)</f>
        <v>61562.5</v>
      </c>
      <c r="V20" s="3">
        <f>SUM(S20:U20)</f>
        <v>787187.5</v>
      </c>
      <c r="W20" s="3">
        <f>J20*'Inputs'!$B$66/12</f>
        <v>180583.33333333334</v>
      </c>
      <c r="X20" s="3">
        <f>J20*('Inputs'!$B$66*'Inputs'!$B$17+'Inputs'!$B$10*'Inputs'!$B$11+'Inputs'!$B$12*'Inputs'!$B$13+'Inputs'!$B$14*'Inputs'!$B$15+'Inputs'!$B$67+'Inputs'!$B$16)/12</f>
        <v>106708.33333333333</v>
      </c>
      <c r="Y20" s="3">
        <f>MAX(Y19,ROUNDUP((J20+K20)/'Inputs'!$B$9,0))</f>
        <v>7</v>
      </c>
      <c r="Z20" s="3">
        <f>Y20*'Inputs'!$B$8/12</f>
        <v>105000.0</v>
      </c>
      <c r="AA20" s="3">
        <f>W20+X20+Z20</f>
        <v>392291.6666666667</v>
      </c>
      <c r="AB20" s="3">
        <f>R20*('Inputs'!$B$19+'Inputs'!$B$20*'Inputs'!$B$21+'Inputs'!$B$22*'Inputs'!$B$11+'Inputs'!$B$23+'Inputs'!$B$24)</f>
        <v>94166.66666666667</v>
      </c>
      <c r="AC20" s="3">
        <f>U20*'Inputs'!$B$26</f>
        <v>15390.625</v>
      </c>
      <c r="AD20" s="3">
        <f>AA20+AB20+AC20</f>
        <v>501848.9583333334</v>
      </c>
      <c r="AE20" s="3">
        <f>V20-AD20</f>
        <v>285338.5416666666</v>
      </c>
      <c r="AF20" s="3">
        <f>'Inputs'!$B$28/12</f>
        <v>16500.0</v>
      </c>
      <c r="AG20" s="3">
        <f>'Inputs'!$B$72/12</f>
        <v>75000.0</v>
      </c>
      <c r="AH20" s="3">
        <f>'Inputs'!$B$31/12</f>
        <v>15000.0</v>
      </c>
      <c r="AI20" s="3">
        <f>'Inputs'!$B$34/12</f>
        <v>6666.666666666667</v>
      </c>
      <c r="AJ20" s="3">
        <f>'Inputs'!$B$37/12</f>
        <v>7500.0</v>
      </c>
      <c r="AK20" s="3">
        <f>MAX(1,ROUNDUP((SUM($D$14:$D$25)+0.5*SUM($E$14:$E$25))/'Inputs'!$B$40,0))</f>
        <v>3</v>
      </c>
      <c r="AL20" s="3">
        <f>AK20*'Inputs'!$B$39/12</f>
        <v>45000.0</v>
      </c>
      <c r="AM20" s="3">
        <f>D20*'Inputs'!$B$41+E20*'Inputs'!$B$42</f>
        <v>15000</v>
      </c>
      <c r="AN20" s="3">
        <f>0</f>
        <v>0</v>
      </c>
      <c r="AO20" s="3">
        <f>AF20+AG20+AH20+AI20+AJ20+AL20+AM20+AN20</f>
        <v>180666.6666666667</v>
      </c>
      <c r="AP20" s="3">
        <f>AE20-AO20</f>
        <v>104671.87499999994</v>
      </c>
      <c r="AQ20" s="3">
        <f>(D20+L20)*'Inputs'!$B$64/4</f>
        <v>750000.0</v>
      </c>
      <c r="AR20" s="3">
        <f>(E20*'Inputs'!$B$25+R20*(1-'Inputs'!$B$25))*'Inputs'!$B$65</f>
        <v>55000.0</v>
      </c>
      <c r="AS20" s="3">
        <f>AQ20+AR20+U20</f>
        <v>866562.5</v>
      </c>
      <c r="AT20" s="3">
        <f>IF(A20&gt;'Inputs'!$B$5,INDEX($AS$2:$AS$37,MAX(1,A20-'Inputs'!$B$5)),0)</f>
        <v>721562.5</v>
      </c>
      <c r="AU20" s="3">
        <f>'Inputs'!$B$66*(O20*'Inputs'!$B$53+P20*(1-'Inputs'!$B$53)/3+Q20/4)</f>
        <v>310200.00000000006</v>
      </c>
      <c r="AV20" s="3">
        <f>(E20+E19)*('Inputs'!$B$19+'Inputs'!$B$20*'Inputs'!$B$21+'Inputs'!$B$22*'Inputs'!$B$11+'Inputs'!$B$23+'Inputs'!$B$24)/2</f>
        <v>47083.333333333336</v>
      </c>
      <c r="AW20" s="3">
        <f>AU20+X20+Z20+AV20+AC20+AO20</f>
        <v>765048.9583333335</v>
      </c>
      <c r="AX20" s="3">
        <f>AT20-AW20</f>
        <v>-43486.45833333349</v>
      </c>
      <c r="AY20" s="3">
        <f>AY19+AX20</f>
        <v>-2410203.1250000005</v>
      </c>
      <c r="AZ20" s="3">
        <f>AZ19+AS20-AT20</f>
        <v>1698750.0</v>
      </c>
      <c r="BA20" s="3">
        <f>BA19+AQ20+AR20-S20-T20</f>
        <v>1295625.0</v>
      </c>
      <c r="BB20" s="3">
        <f>BB19+AU20-W20</f>
        <v>708583.3333333336</v>
      </c>
      <c r="BC20" s="3">
        <f>BC19+AV20-AB20</f>
        <v>94166.66666666667</v>
      </c>
      <c r="BD20" s="3">
        <f>J20*'Inputs'!$B$64</f>
        <v>7387500.0</v>
      </c>
      <c r="BE20" s="3">
        <f>(J20+K20)/'Inputs'!$B$9</f>
        <v>6.425</v>
      </c>
      <c r="BF20" s="3">
        <f>J20*'Inputs'!$B$12</f>
        <v>1.97</v>
      </c>
      <c r="BG20" s="3">
        <f>J20*'Inputs'!$B$14</f>
        <v>1.97</v>
      </c>
      <c r="BH20" s="3">
        <f>J20*'Inputs'!$B$10/12+E20*'Inputs'!$B$22</f>
        <v>8.208333333333334</v>
      </c>
      <c r="BI20" s="3">
        <f>'Inputs'!$B$6*'Inputs'!$B$7*(F20*('Inputs'!$B$49+'Inputs'!$B$47)+L20*('Inputs'!$B$49+'Inputs'!$B$48))+E20*'Inputs'!$B$46*'Inputs'!$B$18</f>
        <v>8160.0</v>
      </c>
    </row>
    <row r="21" spans="1:61">
      <c r="A21">
        <v>20</v>
      </c>
      <c r="B21" t="s">
        <v>195</v>
      </c>
      <c r="C21">
        <v>2</v>
      </c>
      <c r="D21" s="2">
        <v>1</v>
      </c>
      <c r="E21" s="2">
        <v>1</v>
      </c>
      <c r="F21" s="3">
        <f>IF(A21&gt;'Inputs'!$B$3,INDEX($D$2:$D$37,MAX(1,A21-'Inputs'!$B$3)),0)</f>
        <v>2</v>
      </c>
      <c r="G21" s="3">
        <f>F9+H9</f>
        <v>0.0</v>
      </c>
      <c r="H21" s="3">
        <f>G21*(1-'Inputs'!$B$68)</f>
        <v>0.0</v>
      </c>
      <c r="I21" s="3">
        <f>G21-H21</f>
        <v>0.0</v>
      </c>
      <c r="J21" s="3">
        <f>J20+F21-I21</f>
        <v>11.85</v>
      </c>
      <c r="K21" s="3">
        <f>SUM($D$2:D21)-SUM($F$2:F21)</f>
        <v>2</v>
      </c>
      <c r="L21" s="3">
        <f>F18+H18+F15+H15+F12+H12+H21</f>
        <v>3.0</v>
      </c>
      <c r="M21" s="3">
        <f>F21+L21</f>
        <v>5.0</v>
      </c>
      <c r="N21" s="3">
        <f>IF(A21+1&gt;'Inputs'!$B$3,INDEX($D$2:$D$37,MAX(1,A21+1-'Inputs'!$B$3)),0)+F19+H19+F16+H16+F13+H13+(F10+H10)*(1-'Inputs'!$B$68)</f>
        <v>3.85</v>
      </c>
      <c r="O21" s="3">
        <f>IF(A21+1&gt;'Inputs'!$B$3,INDEX($D$2:$D$37,MAX(1,A21+1-'Inputs'!$B$3)),0)</f>
        <v>1</v>
      </c>
      <c r="P21" s="3">
        <f>F19+F16+F13</f>
        <v>2</v>
      </c>
      <c r="Q21" s="3">
        <f>H19+H16+H13+(F10+H10)*(1-'Inputs'!$B$68)</f>
        <v>0.85</v>
      </c>
      <c r="R21" s="3">
        <f>IF(A21&gt;'Inputs'!$B$4,INDEX($E$2:$E$37,MAX(1,A21-'Inputs'!$B$4)),0)</f>
        <v>1</v>
      </c>
      <c r="S21" s="3">
        <f>J21*'Inputs'!$B$64/12</f>
        <v>740625.0</v>
      </c>
      <c r="T21" s="3">
        <f>R21*'Inputs'!$B$65</f>
        <v>110000</v>
      </c>
      <c r="U21" s="3">
        <f>S21*IF(C21&gt;1,'Inputs'!$B$70,0)</f>
        <v>74062.5</v>
      </c>
      <c r="V21" s="3">
        <f>SUM(S21:U21)</f>
        <v>924687.5</v>
      </c>
      <c r="W21" s="3">
        <f>J21*'Inputs'!$B$66/12</f>
        <v>217250.0</v>
      </c>
      <c r="X21" s="3">
        <f>J21*('Inputs'!$B$66*'Inputs'!$B$17+'Inputs'!$B$10*'Inputs'!$B$11+'Inputs'!$B$12*'Inputs'!$B$13+'Inputs'!$B$14*'Inputs'!$B$15+'Inputs'!$B$67+'Inputs'!$B$16)/12</f>
        <v>128375.0</v>
      </c>
      <c r="Y21" s="3">
        <f>MAX(Y20,ROUNDUP((J21+K21)/'Inputs'!$B$9,0))</f>
        <v>7</v>
      </c>
      <c r="Z21" s="3">
        <f>Y21*'Inputs'!$B$8/12</f>
        <v>105000.0</v>
      </c>
      <c r="AA21" s="3">
        <f>W21+X21+Z21</f>
        <v>450625.0</v>
      </c>
      <c r="AB21" s="3">
        <f>R21*('Inputs'!$B$19+'Inputs'!$B$20*'Inputs'!$B$21+'Inputs'!$B$22*'Inputs'!$B$11+'Inputs'!$B$23+'Inputs'!$B$24)</f>
        <v>94166.66666666667</v>
      </c>
      <c r="AC21" s="3">
        <f>U21*'Inputs'!$B$26</f>
        <v>18515.625</v>
      </c>
      <c r="AD21" s="3">
        <f>AA21+AB21+AC21</f>
        <v>563307.2916666666</v>
      </c>
      <c r="AE21" s="3">
        <f>V21-AD21</f>
        <v>361380.2083333334</v>
      </c>
      <c r="AF21" s="3">
        <f>'Inputs'!$B$28/12</f>
        <v>16500.0</v>
      </c>
      <c r="AG21" s="3">
        <f>'Inputs'!$B$72/12</f>
        <v>75000.0</v>
      </c>
      <c r="AH21" s="3">
        <f>'Inputs'!$B$31/12</f>
        <v>15000.0</v>
      </c>
      <c r="AI21" s="3">
        <f>'Inputs'!$B$34/12</f>
        <v>6666.666666666667</v>
      </c>
      <c r="AJ21" s="3">
        <f>'Inputs'!$B$37/12</f>
        <v>7500.0</v>
      </c>
      <c r="AK21" s="3">
        <f>MAX(1,ROUNDUP((SUM($D$14:$D$25)+0.5*SUM($E$14:$E$25))/'Inputs'!$B$40,0))</f>
        <v>3</v>
      </c>
      <c r="AL21" s="3">
        <f>AK21*'Inputs'!$B$39/12</f>
        <v>45000.0</v>
      </c>
      <c r="AM21" s="3">
        <f>D21*'Inputs'!$B$41+E21*'Inputs'!$B$42</f>
        <v>20000</v>
      </c>
      <c r="AN21" s="3">
        <f>0</f>
        <v>0</v>
      </c>
      <c r="AO21" s="3">
        <f>AF21+AG21+AH21+AI21+AJ21+AL21+AM21+AN21</f>
        <v>185666.6666666667</v>
      </c>
      <c r="AP21" s="3">
        <f>AE21-AO21</f>
        <v>175713.5416666667</v>
      </c>
      <c r="AQ21" s="3">
        <f>(D21+L21)*'Inputs'!$B$64/4</f>
        <v>750000.0</v>
      </c>
      <c r="AR21" s="3">
        <f>(E21*'Inputs'!$B$25+R21*(1-'Inputs'!$B$25))*'Inputs'!$B$65</f>
        <v>110000.0</v>
      </c>
      <c r="AS21" s="3">
        <f>AQ21+AR21+U21</f>
        <v>934062.5</v>
      </c>
      <c r="AT21" s="3">
        <f>IF(A21&gt;'Inputs'!$B$5,INDEX($AS$2:$AS$37,MAX(1,A21-'Inputs'!$B$5)),0)</f>
        <v>832187.5</v>
      </c>
      <c r="AU21" s="3">
        <f>'Inputs'!$B$66*(O21*'Inputs'!$B$53+P21*(1-'Inputs'!$B$53)/3+Q21/4)</f>
        <v>223483.33333333334</v>
      </c>
      <c r="AV21" s="3">
        <f>(E21+E20)*('Inputs'!$B$19+'Inputs'!$B$20*'Inputs'!$B$21+'Inputs'!$B$22*'Inputs'!$B$11+'Inputs'!$B$23+'Inputs'!$B$24)/2</f>
        <v>47083.333333333336</v>
      </c>
      <c r="AW21" s="3">
        <f>AU21+X21+Z21+AV21+AC21+AO21</f>
        <v>708123.9583333334</v>
      </c>
      <c r="AX21" s="3">
        <f>AT21-AW21</f>
        <v>124063.54166666663</v>
      </c>
      <c r="AY21" s="3">
        <f>AY20+AX21</f>
        <v>-2286139.583333334</v>
      </c>
      <c r="AZ21" s="3">
        <f>AZ20+AS21-AT21</f>
        <v>1800625.0</v>
      </c>
      <c r="BA21" s="3">
        <f>BA20+AQ21+AR21-S21-T21</f>
        <v>1305000.0</v>
      </c>
      <c r="BB21" s="3">
        <f>BB20+AU21-W21</f>
        <v>714816.666666667</v>
      </c>
      <c r="BC21" s="3">
        <f>BC20+AV21-AB21</f>
        <v>47083.33333333333</v>
      </c>
      <c r="BD21" s="3">
        <f>J21*'Inputs'!$B$64</f>
        <v>8887500.0</v>
      </c>
      <c r="BE21" s="3">
        <f>(J21+K21)/'Inputs'!$B$9</f>
        <v>6.925</v>
      </c>
      <c r="BF21" s="3">
        <f>J21*'Inputs'!$B$12</f>
        <v>2.37</v>
      </c>
      <c r="BG21" s="3">
        <f>J21*'Inputs'!$B$14</f>
        <v>2.37</v>
      </c>
      <c r="BH21" s="3">
        <f>J21*'Inputs'!$B$10/12+E21*'Inputs'!$B$22</f>
        <v>15.541666666666666</v>
      </c>
      <c r="BI21" s="3">
        <f>'Inputs'!$B$6*'Inputs'!$B$7*(F21*('Inputs'!$B$49+'Inputs'!$B$47)+L21*('Inputs'!$B$49+'Inputs'!$B$48))+E21*'Inputs'!$B$46*'Inputs'!$B$18</f>
        <v>12320.0</v>
      </c>
    </row>
    <row r="22" spans="1:61">
      <c r="A22">
        <v>21</v>
      </c>
      <c r="B22" t="s">
        <v>196</v>
      </c>
      <c r="C22">
        <v>2</v>
      </c>
      <c r="D22" s="2">
        <v>1</v>
      </c>
      <c r="E22" s="2">
        <v>1</v>
      </c>
      <c r="F22" s="3">
        <f>IF(A22&gt;'Inputs'!$B$3,INDEX($D$2:$D$37,MAX(1,A22-'Inputs'!$B$3)),0)</f>
        <v>1</v>
      </c>
      <c r="G22" s="3">
        <f>F10+H10</f>
        <v>0.0</v>
      </c>
      <c r="H22" s="3">
        <f>G22*(1-'Inputs'!$B$68)</f>
        <v>0.0</v>
      </c>
      <c r="I22" s="3">
        <f>G22-H22</f>
        <v>0.0</v>
      </c>
      <c r="J22" s="3">
        <f>J21+F22-I22</f>
        <v>12.85</v>
      </c>
      <c r="K22" s="3">
        <f>SUM($D$2:D22)-SUM($F$2:F22)</f>
        <v>2</v>
      </c>
      <c r="L22" s="3">
        <f>F19+H19+F16+H16+F13+H13+H22</f>
        <v>2.85</v>
      </c>
      <c r="M22" s="3">
        <f>F22+L22</f>
        <v>3.85</v>
      </c>
      <c r="N22" s="3">
        <f>IF(A22+1&gt;'Inputs'!$B$3,INDEX($D$2:$D$37,MAX(1,A22+1-'Inputs'!$B$3)),0)+F20+H20+F17+H17+F14+H14+(F11+H11)*(1-'Inputs'!$B$68)</f>
        <v>4.85</v>
      </c>
      <c r="O22" s="3">
        <f>IF(A22+1&gt;'Inputs'!$B$3,INDEX($D$2:$D$37,MAX(1,A22+1-'Inputs'!$B$3)),0)</f>
        <v>1</v>
      </c>
      <c r="P22" s="3">
        <f>F20+F17+F14</f>
        <v>3</v>
      </c>
      <c r="Q22" s="3">
        <f>H20+H17+H14+(F11+H11)*(1-'Inputs'!$B$68)</f>
        <v>0.85</v>
      </c>
      <c r="R22" s="3">
        <f>IF(A22&gt;'Inputs'!$B$4,INDEX($E$2:$E$37,MAX(1,A22-'Inputs'!$B$4)),0)</f>
        <v>0</v>
      </c>
      <c r="S22" s="3">
        <f>J22*'Inputs'!$B$64/12</f>
        <v>803125.0</v>
      </c>
      <c r="T22" s="3">
        <f>R22*'Inputs'!$B$65</f>
        <v>0</v>
      </c>
      <c r="U22" s="3">
        <f>S22*IF(C22&gt;1,'Inputs'!$B$70,0)</f>
        <v>80312.5</v>
      </c>
      <c r="V22" s="3">
        <f>SUM(S22:U22)</f>
        <v>883437.5</v>
      </c>
      <c r="W22" s="3">
        <f>J22*'Inputs'!$B$66/12</f>
        <v>235583.33333333334</v>
      </c>
      <c r="X22" s="3">
        <f>J22*('Inputs'!$B$66*'Inputs'!$B$17+'Inputs'!$B$10*'Inputs'!$B$11+'Inputs'!$B$12*'Inputs'!$B$13+'Inputs'!$B$14*'Inputs'!$B$15+'Inputs'!$B$67+'Inputs'!$B$16)/12</f>
        <v>139208.33333333334</v>
      </c>
      <c r="Y22" s="3">
        <f>MAX(Y21,ROUNDUP((J22+K22)/'Inputs'!$B$9,0))</f>
        <v>8</v>
      </c>
      <c r="Z22" s="3">
        <f>Y22*'Inputs'!$B$8/12</f>
        <v>120000.0</v>
      </c>
      <c r="AA22" s="3">
        <f>W22+X22+Z22</f>
        <v>494791.6666666667</v>
      </c>
      <c r="AB22" s="3">
        <f>R22*('Inputs'!$B$19+'Inputs'!$B$20*'Inputs'!$B$21+'Inputs'!$B$22*'Inputs'!$B$11+'Inputs'!$B$23+'Inputs'!$B$24)</f>
        <v>0.0</v>
      </c>
      <c r="AC22" s="3">
        <f>U22*'Inputs'!$B$26</f>
        <v>20078.125</v>
      </c>
      <c r="AD22" s="3">
        <f>AA22+AB22+AC22</f>
        <v>514869.7916666667</v>
      </c>
      <c r="AE22" s="3">
        <f>V22-AD22</f>
        <v>368567.7083333333</v>
      </c>
      <c r="AF22" s="3">
        <f>'Inputs'!$B$28/12</f>
        <v>16500.0</v>
      </c>
      <c r="AG22" s="3">
        <f>'Inputs'!$B$72/12</f>
        <v>75000.0</v>
      </c>
      <c r="AH22" s="3">
        <f>'Inputs'!$B$31/12</f>
        <v>15000.0</v>
      </c>
      <c r="AI22" s="3">
        <f>'Inputs'!$B$34/12</f>
        <v>6666.666666666667</v>
      </c>
      <c r="AJ22" s="3">
        <f>'Inputs'!$B$37/12</f>
        <v>7500.0</v>
      </c>
      <c r="AK22" s="3">
        <f>MAX(1,ROUNDUP((SUM($D$14:$D$25)+0.5*SUM($E$14:$E$25))/'Inputs'!$B$40,0))</f>
        <v>3</v>
      </c>
      <c r="AL22" s="3">
        <f>AK22*'Inputs'!$B$39/12</f>
        <v>45000.0</v>
      </c>
      <c r="AM22" s="3">
        <f>D22*'Inputs'!$B$41+E22*'Inputs'!$B$42</f>
        <v>20000</v>
      </c>
      <c r="AN22" s="3">
        <f>0</f>
        <v>0</v>
      </c>
      <c r="AO22" s="3">
        <f>AF22+AG22+AH22+AI22+AJ22+AL22+AM22+AN22</f>
        <v>185666.6666666667</v>
      </c>
      <c r="AP22" s="3">
        <f>AE22-AO22</f>
        <v>182901.04166666663</v>
      </c>
      <c r="AQ22" s="3">
        <f>(D22+L22)*'Inputs'!$B$64/4</f>
        <v>721875.0</v>
      </c>
      <c r="AR22" s="3">
        <f>(E22*'Inputs'!$B$25+R22*(1-'Inputs'!$B$25))*'Inputs'!$B$65</f>
        <v>55000.0</v>
      </c>
      <c r="AS22" s="3">
        <f>AQ22+AR22+U22</f>
        <v>857187.5</v>
      </c>
      <c r="AT22" s="3">
        <f>IF(A22&gt;'Inputs'!$B$5,INDEX($AS$2:$AS$37,MAX(1,A22-'Inputs'!$B$5)),0)</f>
        <v>866562.5</v>
      </c>
      <c r="AU22" s="3">
        <f>'Inputs'!$B$66*(O22*'Inputs'!$B$53+P22*(1-'Inputs'!$B$53)/3+Q22/4)</f>
        <v>266750.0</v>
      </c>
      <c r="AV22" s="3">
        <f>(E22+E21)*('Inputs'!$B$19+'Inputs'!$B$20*'Inputs'!$B$21+'Inputs'!$B$22*'Inputs'!$B$11+'Inputs'!$B$23+'Inputs'!$B$24)/2</f>
        <v>94166.66666666667</v>
      </c>
      <c r="AW22" s="3">
        <f>AU22+X22+Z22+AV22+AC22+AO22</f>
        <v>825869.7916666667</v>
      </c>
      <c r="AX22" s="3">
        <f>AT22-AW22</f>
        <v>40692.708333333256</v>
      </c>
      <c r="AY22" s="3">
        <f>AY21+AX22</f>
        <v>-2245446.875000001</v>
      </c>
      <c r="AZ22" s="3">
        <f>AZ21+AS22-AT22</f>
        <v>1791250.0</v>
      </c>
      <c r="BA22" s="3">
        <f>BA21+AQ22+AR22-S22-T22</f>
        <v>1278750.0</v>
      </c>
      <c r="BB22" s="3">
        <f>BB21+AU22-W22</f>
        <v>745983.3333333336</v>
      </c>
      <c r="BC22" s="3">
        <f>BC21+AV22-AB22</f>
        <v>141250.0</v>
      </c>
      <c r="BD22" s="3">
        <f>J22*'Inputs'!$B$64</f>
        <v>9637500.0</v>
      </c>
      <c r="BE22" s="3">
        <f>(J22+K22)/'Inputs'!$B$9</f>
        <v>7.425</v>
      </c>
      <c r="BF22" s="3">
        <f>J22*'Inputs'!$B$12</f>
        <v>2.5700000000000003</v>
      </c>
      <c r="BG22" s="3">
        <f>J22*'Inputs'!$B$14</f>
        <v>2.5700000000000003</v>
      </c>
      <c r="BH22" s="3">
        <f>J22*'Inputs'!$B$10/12+E22*'Inputs'!$B$22</f>
        <v>16.375</v>
      </c>
      <c r="BI22" s="3">
        <f>'Inputs'!$B$6*'Inputs'!$B$7*(F22*('Inputs'!$B$49+'Inputs'!$B$47)+L22*('Inputs'!$B$49+'Inputs'!$B$48))+E22*'Inputs'!$B$46*'Inputs'!$B$18</f>
        <v>9632.0</v>
      </c>
    </row>
    <row r="23" spans="1:61">
      <c r="A23">
        <v>22</v>
      </c>
      <c r="B23" t="s">
        <v>197</v>
      </c>
      <c r="C23">
        <v>2</v>
      </c>
      <c r="D23" s="2">
        <v>1</v>
      </c>
      <c r="E23" s="2">
        <v>0</v>
      </c>
      <c r="F23" s="3">
        <f>IF(A23&gt;'Inputs'!$B$3,INDEX($D$2:$D$37,MAX(1,A23-'Inputs'!$B$3)),0)</f>
        <v>1</v>
      </c>
      <c r="G23" s="3">
        <f>F11+H11</f>
        <v>1.0</v>
      </c>
      <c r="H23" s="3">
        <f>G23*(1-'Inputs'!$B$68)</f>
        <v>0.85</v>
      </c>
      <c r="I23" s="3">
        <f>G23-H23</f>
        <v>0.15000000000000002</v>
      </c>
      <c r="J23" s="3">
        <f>J22+F23-I23</f>
        <v>13.7</v>
      </c>
      <c r="K23" s="3">
        <f>SUM($D$2:D23)-SUM($F$2:F23)</f>
        <v>2</v>
      </c>
      <c r="L23" s="3">
        <f>F20+H20+F17+H17+F14+H14+H23</f>
        <v>3.85</v>
      </c>
      <c r="M23" s="3">
        <f>F23+L23</f>
        <v>4.85</v>
      </c>
      <c r="N23" s="3">
        <f>IF(A23+1&gt;'Inputs'!$B$3,INDEX($D$2:$D$37,MAX(1,A23+1-'Inputs'!$B$3)),0)+F21+H21+F18+H18+F15+H15+(F12+H12)*(1-'Inputs'!$B$68)</f>
        <v>5.85</v>
      </c>
      <c r="O23" s="3">
        <f>IF(A23+1&gt;'Inputs'!$B$3,INDEX($D$2:$D$37,MAX(1,A23+1-'Inputs'!$B$3)),0)</f>
        <v>1</v>
      </c>
      <c r="P23" s="3">
        <f>F21+F18+F15</f>
        <v>4</v>
      </c>
      <c r="Q23" s="3">
        <f>H21+H18+H15+(F12+H12)*(1-'Inputs'!$B$68)</f>
        <v>0.85</v>
      </c>
      <c r="R23" s="3">
        <f>IF(A23&gt;'Inputs'!$B$4,INDEX($E$2:$E$37,MAX(1,A23-'Inputs'!$B$4)),0)</f>
        <v>1</v>
      </c>
      <c r="S23" s="3">
        <f>J23*'Inputs'!$B$64/12</f>
        <v>856250.0</v>
      </c>
      <c r="T23" s="3">
        <f>R23*'Inputs'!$B$65</f>
        <v>110000</v>
      </c>
      <c r="U23" s="3">
        <f>S23*IF(C23&gt;1,'Inputs'!$B$70,0)</f>
        <v>85625.0</v>
      </c>
      <c r="V23" s="3">
        <f>SUM(S23:U23)</f>
        <v>1051875.0</v>
      </c>
      <c r="W23" s="3">
        <f>J23*'Inputs'!$B$66/12</f>
        <v>251166.66666666666</v>
      </c>
      <c r="X23" s="3">
        <f>J23*('Inputs'!$B$66*'Inputs'!$B$17+'Inputs'!$B$10*'Inputs'!$B$11+'Inputs'!$B$12*'Inputs'!$B$13+'Inputs'!$B$14*'Inputs'!$B$15+'Inputs'!$B$67+'Inputs'!$B$16)/12</f>
        <v>148416.66666666666</v>
      </c>
      <c r="Y23" s="3">
        <f>MAX(Y22,ROUNDUP((J23+K23)/'Inputs'!$B$9,0))</f>
        <v>8</v>
      </c>
      <c r="Z23" s="3">
        <f>Y23*'Inputs'!$B$8/12</f>
        <v>120000.0</v>
      </c>
      <c r="AA23" s="3">
        <f>W23+X23+Z23</f>
        <v>519583.3333333333</v>
      </c>
      <c r="AB23" s="3">
        <f>R23*('Inputs'!$B$19+'Inputs'!$B$20*'Inputs'!$B$21+'Inputs'!$B$22*'Inputs'!$B$11+'Inputs'!$B$23+'Inputs'!$B$24)</f>
        <v>94166.66666666667</v>
      </c>
      <c r="AC23" s="3">
        <f>U23*'Inputs'!$B$26</f>
        <v>21406.25</v>
      </c>
      <c r="AD23" s="3">
        <f>AA23+AB23+AC23</f>
        <v>635156.25</v>
      </c>
      <c r="AE23" s="3">
        <f>V23-AD23</f>
        <v>416718.75</v>
      </c>
      <c r="AF23" s="3">
        <f>'Inputs'!$B$28/12</f>
        <v>16500.0</v>
      </c>
      <c r="AG23" s="3">
        <f>'Inputs'!$B$72/12</f>
        <v>75000.0</v>
      </c>
      <c r="AH23" s="3">
        <f>'Inputs'!$B$31/12</f>
        <v>15000.0</v>
      </c>
      <c r="AI23" s="3">
        <f>'Inputs'!$B$34/12</f>
        <v>6666.666666666667</v>
      </c>
      <c r="AJ23" s="3">
        <f>'Inputs'!$B$37/12</f>
        <v>7500.0</v>
      </c>
      <c r="AK23" s="3">
        <f>MAX(1,ROUNDUP((SUM($D$14:$D$25)+0.5*SUM($E$14:$E$25))/'Inputs'!$B$40,0))</f>
        <v>3</v>
      </c>
      <c r="AL23" s="3">
        <f>AK23*'Inputs'!$B$39/12</f>
        <v>45000.0</v>
      </c>
      <c r="AM23" s="3">
        <f>D23*'Inputs'!$B$41+E23*'Inputs'!$B$42</f>
        <v>15000</v>
      </c>
      <c r="AN23" s="3">
        <f>0</f>
        <v>0</v>
      </c>
      <c r="AO23" s="3">
        <f>AF23+AG23+AH23+AI23+AJ23+AL23+AM23+AN23</f>
        <v>180666.6666666667</v>
      </c>
      <c r="AP23" s="3">
        <f>AE23-AO23</f>
        <v>236052.0833333333</v>
      </c>
      <c r="AQ23" s="3">
        <f>(D23+L23)*'Inputs'!$B$64/4</f>
        <v>909374.9999999999</v>
      </c>
      <c r="AR23" s="3">
        <f>(E23*'Inputs'!$B$25+R23*(1-'Inputs'!$B$25))*'Inputs'!$B$65</f>
        <v>55000.0</v>
      </c>
      <c r="AS23" s="3">
        <f>AQ23+AR23+U23</f>
        <v>1050000.0</v>
      </c>
      <c r="AT23" s="3">
        <f>IF(A23&gt;'Inputs'!$B$5,INDEX($AS$2:$AS$37,MAX(1,A23-'Inputs'!$B$5)),0)</f>
        <v>934062.5</v>
      </c>
      <c r="AU23" s="3">
        <f>'Inputs'!$B$66*(O23*'Inputs'!$B$53+P23*(1-'Inputs'!$B$53)/3+Q23/4)</f>
        <v>310016.6666666667</v>
      </c>
      <c r="AV23" s="3">
        <f>(E23+E22)*('Inputs'!$B$19+'Inputs'!$B$20*'Inputs'!$B$21+'Inputs'!$B$22*'Inputs'!$B$11+'Inputs'!$B$23+'Inputs'!$B$24)/2</f>
        <v>47083.333333333336</v>
      </c>
      <c r="AW23" s="3">
        <f>AU23+X23+Z23+AV23+AC23+AO23</f>
        <v>827589.5833333335</v>
      </c>
      <c r="AX23" s="3">
        <f>AT23-AW23</f>
        <v>106472.91666666651</v>
      </c>
      <c r="AY23" s="3">
        <f>AY22+AX23</f>
        <v>-2138973.9583333344</v>
      </c>
      <c r="AZ23" s="3">
        <f>AZ22+AS23-AT23</f>
        <v>1907187.5</v>
      </c>
      <c r="BA23" s="3">
        <f>BA22+AQ23+AR23-S23-T23</f>
        <v>1276875.0</v>
      </c>
      <c r="BB23" s="3">
        <f>BB22+AU23-W23</f>
        <v>804833.3333333336</v>
      </c>
      <c r="BC23" s="3">
        <f>BC22+AV23-AB23</f>
        <v>94166.66666666667</v>
      </c>
      <c r="BD23" s="3">
        <f>J23*'Inputs'!$B$64</f>
        <v>10275000.0</v>
      </c>
      <c r="BE23" s="3">
        <f>(J23+K23)/'Inputs'!$B$9</f>
        <v>7.85</v>
      </c>
      <c r="BF23" s="3">
        <f>J23*'Inputs'!$B$12</f>
        <v>2.74</v>
      </c>
      <c r="BG23" s="3">
        <f>J23*'Inputs'!$B$14</f>
        <v>2.74</v>
      </c>
      <c r="BH23" s="3">
        <f>J23*'Inputs'!$B$10/12+E23*'Inputs'!$B$22</f>
        <v>11.416666666666666</v>
      </c>
      <c r="BI23" s="3">
        <f>'Inputs'!$B$6*'Inputs'!$B$7*(F23*('Inputs'!$B$49+'Inputs'!$B$47)+L23*('Inputs'!$B$49+'Inputs'!$B$48))+E23*'Inputs'!$B$46*'Inputs'!$B$18</f>
        <v>9792.0</v>
      </c>
    </row>
    <row r="24" spans="1:61">
      <c r="A24">
        <v>23</v>
      </c>
      <c r="B24" t="s">
        <v>198</v>
      </c>
      <c r="C24">
        <v>2</v>
      </c>
      <c r="D24" s="2">
        <v>1</v>
      </c>
      <c r="E24" s="2">
        <v>1</v>
      </c>
      <c r="F24" s="3">
        <f>IF(A24&gt;'Inputs'!$B$3,INDEX($D$2:$D$37,MAX(1,A24-'Inputs'!$B$3)),0)</f>
        <v>1</v>
      </c>
      <c r="G24" s="3">
        <f>F12+H12</f>
        <v>1.0</v>
      </c>
      <c r="H24" s="3">
        <f>G24*(1-'Inputs'!$B$68)</f>
        <v>0.85</v>
      </c>
      <c r="I24" s="3">
        <f>G24-H24</f>
        <v>0.15000000000000002</v>
      </c>
      <c r="J24" s="3">
        <f>J23+F24-I24</f>
        <v>14.549999999999999</v>
      </c>
      <c r="K24" s="3">
        <f>SUM($D$2:D24)-SUM($F$2:F24)</f>
        <v>2</v>
      </c>
      <c r="L24" s="3">
        <f>F21+H21+F18+H18+F15+H15+H24</f>
        <v>4.85</v>
      </c>
      <c r="M24" s="3">
        <f>F24+L24</f>
        <v>5.85</v>
      </c>
      <c r="N24" s="3">
        <f>IF(A24+1&gt;'Inputs'!$B$3,INDEX($D$2:$D$37,MAX(1,A24+1-'Inputs'!$B$3)),0)+F22+H22+F19+H19+F16+H16+(F13+H13)*(1-'Inputs'!$B$68)</f>
        <v>4.85</v>
      </c>
      <c r="O24" s="3">
        <f>IF(A24+1&gt;'Inputs'!$B$3,INDEX($D$2:$D$37,MAX(1,A24+1-'Inputs'!$B$3)),0)</f>
        <v>1</v>
      </c>
      <c r="P24" s="3">
        <f>F22+F19+F16</f>
        <v>3</v>
      </c>
      <c r="Q24" s="3">
        <f>H22+H19+H16+(F13+H13)*(1-'Inputs'!$B$68)</f>
        <v>0.85</v>
      </c>
      <c r="R24" s="3">
        <f>IF(A24&gt;'Inputs'!$B$4,INDEX($E$2:$E$37,MAX(1,A24-'Inputs'!$B$4)),0)</f>
        <v>1</v>
      </c>
      <c r="S24" s="3">
        <f>J24*'Inputs'!$B$64/12</f>
        <v>909375.0</v>
      </c>
      <c r="T24" s="3">
        <f>R24*'Inputs'!$B$65</f>
        <v>110000</v>
      </c>
      <c r="U24" s="3">
        <f>S24*IF(C24&gt;1,'Inputs'!$B$70,0)</f>
        <v>90937.5</v>
      </c>
      <c r="V24" s="3">
        <f>SUM(S24:U24)</f>
        <v>1110312.5</v>
      </c>
      <c r="W24" s="3">
        <f>J24*'Inputs'!$B$66/12</f>
        <v>266749.99999999994</v>
      </c>
      <c r="X24" s="3">
        <f>J24*('Inputs'!$B$66*'Inputs'!$B$17+'Inputs'!$B$10*'Inputs'!$B$11+'Inputs'!$B$12*'Inputs'!$B$13+'Inputs'!$B$14*'Inputs'!$B$15+'Inputs'!$B$67+'Inputs'!$B$16)/12</f>
        <v>157624.99999999997</v>
      </c>
      <c r="Y24" s="3">
        <f>MAX(Y23,ROUNDUP((J24+K24)/'Inputs'!$B$9,0))</f>
        <v>9</v>
      </c>
      <c r="Z24" s="3">
        <f>Y24*'Inputs'!$B$8/12</f>
        <v>135000.0</v>
      </c>
      <c r="AA24" s="3">
        <f>W24+X24+Z24</f>
        <v>559374.9999999999</v>
      </c>
      <c r="AB24" s="3">
        <f>R24*('Inputs'!$B$19+'Inputs'!$B$20*'Inputs'!$B$21+'Inputs'!$B$22*'Inputs'!$B$11+'Inputs'!$B$23+'Inputs'!$B$24)</f>
        <v>94166.66666666667</v>
      </c>
      <c r="AC24" s="3">
        <f>U24*'Inputs'!$B$26</f>
        <v>22734.375</v>
      </c>
      <c r="AD24" s="3">
        <f>AA24+AB24+AC24</f>
        <v>676276.0416666665</v>
      </c>
      <c r="AE24" s="3">
        <f>V24-AD24</f>
        <v>434036.4583333335</v>
      </c>
      <c r="AF24" s="3">
        <f>'Inputs'!$B$28/12</f>
        <v>16500.0</v>
      </c>
      <c r="AG24" s="3">
        <f>'Inputs'!$B$72/12</f>
        <v>75000.0</v>
      </c>
      <c r="AH24" s="3">
        <f>'Inputs'!$B$31/12</f>
        <v>15000.0</v>
      </c>
      <c r="AI24" s="3">
        <f>'Inputs'!$B$34/12</f>
        <v>6666.666666666667</v>
      </c>
      <c r="AJ24" s="3">
        <f>'Inputs'!$B$37/12</f>
        <v>7500.0</v>
      </c>
      <c r="AK24" s="3">
        <f>MAX(1,ROUNDUP((SUM($D$14:$D$25)+0.5*SUM($E$14:$E$25))/'Inputs'!$B$40,0))</f>
        <v>3</v>
      </c>
      <c r="AL24" s="3">
        <f>AK24*'Inputs'!$B$39/12</f>
        <v>45000.0</v>
      </c>
      <c r="AM24" s="3">
        <f>D24*'Inputs'!$B$41+E24*'Inputs'!$B$42</f>
        <v>20000</v>
      </c>
      <c r="AN24" s="3">
        <f>0</f>
        <v>0</v>
      </c>
      <c r="AO24" s="3">
        <f>AF24+AG24+AH24+AI24+AJ24+AL24+AM24+AN24</f>
        <v>185666.6666666667</v>
      </c>
      <c r="AP24" s="3">
        <f>AE24-AO24</f>
        <v>248369.7916666668</v>
      </c>
      <c r="AQ24" s="3">
        <f>(D24+L24)*'Inputs'!$B$64/4</f>
        <v>1096875.0</v>
      </c>
      <c r="AR24" s="3">
        <f>(E24*'Inputs'!$B$25+R24*(1-'Inputs'!$B$25))*'Inputs'!$B$65</f>
        <v>110000.0</v>
      </c>
      <c r="AS24" s="3">
        <f>AQ24+AR24+U24</f>
        <v>1297812.5</v>
      </c>
      <c r="AT24" s="3">
        <f>IF(A24&gt;'Inputs'!$B$5,INDEX($AS$2:$AS$37,MAX(1,A24-'Inputs'!$B$5)),0)</f>
        <v>857187.5</v>
      </c>
      <c r="AU24" s="3">
        <f>'Inputs'!$B$66*(O24*'Inputs'!$B$53+P24*(1-'Inputs'!$B$53)/3+Q24/4)</f>
        <v>266750.0</v>
      </c>
      <c r="AV24" s="3">
        <f>(E24+E23)*('Inputs'!$B$19+'Inputs'!$B$20*'Inputs'!$B$21+'Inputs'!$B$22*'Inputs'!$B$11+'Inputs'!$B$23+'Inputs'!$B$24)/2</f>
        <v>47083.333333333336</v>
      </c>
      <c r="AW24" s="3">
        <f>AU24+X24+Z24+AV24+AC24+AO24</f>
        <v>814859.375</v>
      </c>
      <c r="AX24" s="3">
        <f>AT24-AW24</f>
        <v>42328.125</v>
      </c>
      <c r="AY24" s="3">
        <f>AY23+AX24</f>
        <v>-2096645.8333333344</v>
      </c>
      <c r="AZ24" s="3">
        <f>AZ23+AS24-AT24</f>
        <v>2347812.5</v>
      </c>
      <c r="BA24" s="3">
        <f>BA23+AQ24+AR24-S24-T24</f>
        <v>1464375.0</v>
      </c>
      <c r="BB24" s="3">
        <f>BB23+AU24-W24</f>
        <v>804833.3333333335</v>
      </c>
      <c r="BC24" s="3">
        <f>BC23+AV24-AB24</f>
        <v>47083.33333333333</v>
      </c>
      <c r="BD24" s="3">
        <f>J24*'Inputs'!$B$64</f>
        <v>10912500.0</v>
      </c>
      <c r="BE24" s="3">
        <f>(J24+K24)/'Inputs'!$B$9</f>
        <v>8.274999999999999</v>
      </c>
      <c r="BF24" s="3">
        <f>J24*'Inputs'!$B$12</f>
        <v>2.91</v>
      </c>
      <c r="BG24" s="3">
        <f>J24*'Inputs'!$B$14</f>
        <v>2.91</v>
      </c>
      <c r="BH24" s="3">
        <f>J24*'Inputs'!$B$10/12+E24*'Inputs'!$B$22</f>
        <v>17.791666666666664</v>
      </c>
      <c r="BI24" s="3">
        <f>'Inputs'!$B$6*'Inputs'!$B$7*(F24*('Inputs'!$B$49+'Inputs'!$B$47)+L24*('Inputs'!$B$49+'Inputs'!$B$48))+E24*'Inputs'!$B$46*'Inputs'!$B$18</f>
        <v>13472.0</v>
      </c>
    </row>
    <row r="25" spans="1:61">
      <c r="A25">
        <v>24</v>
      </c>
      <c r="B25" t="s">
        <v>199</v>
      </c>
      <c r="C25">
        <v>2</v>
      </c>
      <c r="D25" s="2">
        <v>2</v>
      </c>
      <c r="E25" s="2">
        <v>1</v>
      </c>
      <c r="F25" s="3">
        <f>IF(A25&gt;'Inputs'!$B$3,INDEX($D$2:$D$37,MAX(1,A25-'Inputs'!$B$3)),0)</f>
        <v>1</v>
      </c>
      <c r="G25" s="3">
        <f>F13+H13</f>
        <v>0.0</v>
      </c>
      <c r="H25" s="3">
        <f>G25*(1-'Inputs'!$B$68)</f>
        <v>0.0</v>
      </c>
      <c r="I25" s="3">
        <f>G25-H25</f>
        <v>0.0</v>
      </c>
      <c r="J25" s="3">
        <f>J24+F25-I25</f>
        <v>15.549999999999999</v>
      </c>
      <c r="K25" s="3">
        <f>SUM($D$2:D25)-SUM($F$2:F25)</f>
        <v>3</v>
      </c>
      <c r="L25" s="3">
        <f>F22+H22+F19+H19+F16+H16+H25</f>
        <v>3.85</v>
      </c>
      <c r="M25" s="3">
        <f>F25+L25</f>
        <v>4.85</v>
      </c>
      <c r="N25" s="3">
        <f>IF(A25+1&gt;'Inputs'!$B$3,INDEX($D$2:$D$37,MAX(1,A25+1-'Inputs'!$B$3)),0)+F23+H23+F20+H20+F17+H17+(F14+H14)*(1-'Inputs'!$B$68)</f>
        <v>5.7</v>
      </c>
      <c r="O25" s="3">
        <f>IF(A25+1&gt;'Inputs'!$B$3,INDEX($D$2:$D$37,MAX(1,A25+1-'Inputs'!$B$3)),0)</f>
        <v>1</v>
      </c>
      <c r="P25" s="3">
        <f>F23+F20+F17</f>
        <v>3</v>
      </c>
      <c r="Q25" s="3">
        <f>H23+H20+H17+(F14+H14)*(1-'Inputs'!$B$68)</f>
        <v>1.7</v>
      </c>
      <c r="R25" s="3">
        <f>IF(A25&gt;'Inputs'!$B$4,INDEX($E$2:$E$37,MAX(1,A25-'Inputs'!$B$4)),0)</f>
        <v>0</v>
      </c>
      <c r="S25" s="3">
        <f>J25*'Inputs'!$B$64/12</f>
        <v>971875.0</v>
      </c>
      <c r="T25" s="3">
        <f>R25*'Inputs'!$B$65</f>
        <v>0</v>
      </c>
      <c r="U25" s="3">
        <f>S25*IF(C25&gt;1,'Inputs'!$B$70,0)</f>
        <v>97187.5</v>
      </c>
      <c r="V25" s="3">
        <f>SUM(S25:U25)</f>
        <v>1069062.5</v>
      </c>
      <c r="W25" s="3">
        <f>J25*'Inputs'!$B$66/12</f>
        <v>285083.3333333333</v>
      </c>
      <c r="X25" s="3">
        <f>J25*('Inputs'!$B$66*'Inputs'!$B$17+'Inputs'!$B$10*'Inputs'!$B$11+'Inputs'!$B$12*'Inputs'!$B$13+'Inputs'!$B$14*'Inputs'!$B$15+'Inputs'!$B$67+'Inputs'!$B$16)/12</f>
        <v>168458.3333333333</v>
      </c>
      <c r="Y25" s="3">
        <f>MAX(Y24,ROUNDUP((J25+K25)/'Inputs'!$B$9,0))</f>
        <v>10</v>
      </c>
      <c r="Z25" s="3">
        <f>Y25*'Inputs'!$B$8/12</f>
        <v>150000.0</v>
      </c>
      <c r="AA25" s="3">
        <f>W25+X25+Z25</f>
        <v>603541.6666666666</v>
      </c>
      <c r="AB25" s="3">
        <f>R25*('Inputs'!$B$19+'Inputs'!$B$20*'Inputs'!$B$21+'Inputs'!$B$22*'Inputs'!$B$11+'Inputs'!$B$23+'Inputs'!$B$24)</f>
        <v>0.0</v>
      </c>
      <c r="AC25" s="3">
        <f>U25*'Inputs'!$B$26</f>
        <v>24296.875</v>
      </c>
      <c r="AD25" s="3">
        <f>AA25+AB25+AC25</f>
        <v>627838.5416666666</v>
      </c>
      <c r="AE25" s="3">
        <f>V25-AD25</f>
        <v>441223.9583333334</v>
      </c>
      <c r="AF25" s="3">
        <f>'Inputs'!$B$28/12</f>
        <v>16500.0</v>
      </c>
      <c r="AG25" s="3">
        <f>'Inputs'!$B$72/12</f>
        <v>75000.0</v>
      </c>
      <c r="AH25" s="3">
        <f>'Inputs'!$B$31/12</f>
        <v>15000.0</v>
      </c>
      <c r="AI25" s="3">
        <f>'Inputs'!$B$34/12</f>
        <v>6666.666666666667</v>
      </c>
      <c r="AJ25" s="3">
        <f>'Inputs'!$B$37/12</f>
        <v>7500.0</v>
      </c>
      <c r="AK25" s="3">
        <f>MAX(1,ROUNDUP((SUM($D$14:$D$25)+0.5*SUM($E$14:$E$25))/'Inputs'!$B$40,0))</f>
        <v>3</v>
      </c>
      <c r="AL25" s="3">
        <f>AK25*'Inputs'!$B$39/12</f>
        <v>45000.0</v>
      </c>
      <c r="AM25" s="3">
        <f>D25*'Inputs'!$B$41+E25*'Inputs'!$B$42</f>
        <v>35000</v>
      </c>
      <c r="AN25" s="3">
        <f>0</f>
        <v>0</v>
      </c>
      <c r="AO25" s="3">
        <f>AF25+AG25+AH25+AI25+AJ25+AL25+AM25+AN25</f>
        <v>200666.6666666667</v>
      </c>
      <c r="AP25" s="3">
        <f>AE25-AO25</f>
        <v>240557.2916666667</v>
      </c>
      <c r="AQ25" s="3">
        <f>(D25+L25)*'Inputs'!$B$64/4</f>
        <v>1096875.0</v>
      </c>
      <c r="AR25" s="3">
        <f>(E25*'Inputs'!$B$25+R25*(1-'Inputs'!$B$25))*'Inputs'!$B$65</f>
        <v>55000.0</v>
      </c>
      <c r="AS25" s="3">
        <f>AQ25+AR25+U25</f>
        <v>1249062.5</v>
      </c>
      <c r="AT25" s="3">
        <f>IF(A25&gt;'Inputs'!$B$5,INDEX($AS$2:$AS$37,MAX(1,A25-'Inputs'!$B$5)),0)</f>
        <v>1050000.0</v>
      </c>
      <c r="AU25" s="3">
        <f>'Inputs'!$B$66*(O25*'Inputs'!$B$53+P25*(1-'Inputs'!$B$53)/3+Q25/4)</f>
        <v>313500.0</v>
      </c>
      <c r="AV25" s="3">
        <f>(E25+E24)*('Inputs'!$B$19+'Inputs'!$B$20*'Inputs'!$B$21+'Inputs'!$B$22*'Inputs'!$B$11+'Inputs'!$B$23+'Inputs'!$B$24)/2</f>
        <v>94166.66666666667</v>
      </c>
      <c r="AW25" s="3">
        <f>AU25+X25+Z25+AV25+AC25+AO25</f>
        <v>951088.5416666665</v>
      </c>
      <c r="AX25" s="3">
        <f>AT25-AW25</f>
        <v>98911.45833333349</v>
      </c>
      <c r="AY25" s="3">
        <f>AY24+AX25</f>
        <v>-1997734.375000001</v>
      </c>
      <c r="AZ25" s="3">
        <f>AZ24+AS25-AT25</f>
        <v>2546875.0</v>
      </c>
      <c r="BA25" s="3">
        <f>BA24+AQ25+AR25-S25-T25</f>
        <v>1644375.0</v>
      </c>
      <c r="BB25" s="3">
        <f>BB24+AU25-W25</f>
        <v>833250.0000000002</v>
      </c>
      <c r="BC25" s="3">
        <f>BC24+AV25-AB25</f>
        <v>141250.0</v>
      </c>
      <c r="BD25" s="3">
        <f>J25*'Inputs'!$B$64</f>
        <v>11662500.0</v>
      </c>
      <c r="BE25" s="3">
        <f>(J25+K25)/'Inputs'!$B$9</f>
        <v>9.274999999999999</v>
      </c>
      <c r="BF25" s="3">
        <f>J25*'Inputs'!$B$12</f>
        <v>3.11</v>
      </c>
      <c r="BG25" s="3">
        <f>J25*'Inputs'!$B$14</f>
        <v>3.11</v>
      </c>
      <c r="BH25" s="3">
        <f>J25*'Inputs'!$B$10/12+E25*'Inputs'!$B$22</f>
        <v>18.625</v>
      </c>
      <c r="BI25" s="3">
        <f>'Inputs'!$B$6*'Inputs'!$B$7*(F25*('Inputs'!$B$49+'Inputs'!$B$47)+L25*('Inputs'!$B$49+'Inputs'!$B$48))+E25*'Inputs'!$B$46*'Inputs'!$B$18</f>
        <v>11552.0</v>
      </c>
    </row>
    <row r="26" spans="1:61">
      <c r="A26">
        <v>25</v>
      </c>
      <c r="B26" t="s">
        <v>200</v>
      </c>
      <c r="C26">
        <v>3</v>
      </c>
      <c r="D26" s="2">
        <v>2</v>
      </c>
      <c r="E26" s="2">
        <v>1</v>
      </c>
      <c r="F26" s="3">
        <f>IF(A26&gt;'Inputs'!$B$3,INDEX($D$2:$D$37,MAX(1,A26-'Inputs'!$B$3)),0)</f>
        <v>1</v>
      </c>
      <c r="G26" s="3">
        <f>F14+H14</f>
        <v>1.0</v>
      </c>
      <c r="H26" s="3">
        <f>G26*(1-'Inputs'!$B$68)</f>
        <v>0.85</v>
      </c>
      <c r="I26" s="3">
        <f>G26-H26</f>
        <v>0.15000000000000002</v>
      </c>
      <c r="J26" s="3">
        <f>J25+F26-I26</f>
        <v>16.4</v>
      </c>
      <c r="K26" s="3">
        <f>SUM($D$2:D26)-SUM($F$2:F26)</f>
        <v>4</v>
      </c>
      <c r="L26" s="3">
        <f>F23+H23+F20+H20+F17+H17+H26</f>
        <v>4.7</v>
      </c>
      <c r="M26" s="3">
        <f>F26+L26</f>
        <v>5.7</v>
      </c>
      <c r="N26" s="3">
        <f>IF(A26+1&gt;'Inputs'!$B$3,INDEX($D$2:$D$37,MAX(1,A26+1-'Inputs'!$B$3)),0)+F24+H24+F21+H21+F18+H18+(F15+H15)*(1-'Inputs'!$B$68)</f>
        <v>7.699999999999999</v>
      </c>
      <c r="O26" s="3">
        <f>IF(A26+1&gt;'Inputs'!$B$3,INDEX($D$2:$D$37,MAX(1,A26+1-'Inputs'!$B$3)),0)</f>
        <v>2</v>
      </c>
      <c r="P26" s="3">
        <f>F24+F21+F18</f>
        <v>4</v>
      </c>
      <c r="Q26" s="3">
        <f>H24+H21+H18+(F15+H15)*(1-'Inputs'!$B$68)</f>
        <v>1.7</v>
      </c>
      <c r="R26" s="3">
        <f>IF(A26&gt;'Inputs'!$B$4,INDEX($E$2:$E$37,MAX(1,A26-'Inputs'!$B$4)),0)</f>
        <v>1</v>
      </c>
      <c r="S26" s="3">
        <f>J26*'Inputs'!$B$64/12</f>
        <v>1024999.9999999999</v>
      </c>
      <c r="T26" s="3">
        <f>R26*'Inputs'!$B$65</f>
        <v>110000</v>
      </c>
      <c r="U26" s="3">
        <f>S26*IF(C26&gt;1,'Inputs'!$B$70,0)</f>
        <v>102500.0</v>
      </c>
      <c r="V26" s="3">
        <f>SUM(S26:U26)</f>
        <v>1237500.0</v>
      </c>
      <c r="W26" s="3">
        <f>J26*'Inputs'!$B$66/12</f>
        <v>300666.6666666666</v>
      </c>
      <c r="X26" s="3">
        <f>J26*('Inputs'!$B$66*'Inputs'!$B$17+'Inputs'!$B$10*'Inputs'!$B$11+'Inputs'!$B$12*'Inputs'!$B$13+'Inputs'!$B$14*'Inputs'!$B$15+'Inputs'!$B$67+'Inputs'!$B$16)/12</f>
        <v>177666.66666666666</v>
      </c>
      <c r="Y26" s="3">
        <f>MAX(Y25,ROUNDUP((J26+K26)/'Inputs'!$B$9,0))</f>
        <v>11</v>
      </c>
      <c r="Z26" s="3">
        <f>Y26*'Inputs'!$B$8/12</f>
        <v>165000.0</v>
      </c>
      <c r="AA26" s="3">
        <f>W26+X26+Z26</f>
        <v>643333.3333333333</v>
      </c>
      <c r="AB26" s="3">
        <f>R26*('Inputs'!$B$19+'Inputs'!$B$20*'Inputs'!$B$21+'Inputs'!$B$22*'Inputs'!$B$11+'Inputs'!$B$23+'Inputs'!$B$24)</f>
        <v>94166.66666666667</v>
      </c>
      <c r="AC26" s="3">
        <f>U26*'Inputs'!$B$26</f>
        <v>25625.0</v>
      </c>
      <c r="AD26" s="3">
        <f>AA26+AB26+AC26</f>
        <v>763124.9999999999</v>
      </c>
      <c r="AE26" s="3">
        <f>V26-AD26</f>
        <v>474375.0000000001</v>
      </c>
      <c r="AF26" s="3">
        <f>'Inputs'!$B$29/12</f>
        <v>18000.0</v>
      </c>
      <c r="AG26" s="3">
        <f>'Inputs'!$B$73/12</f>
        <v>87500.0</v>
      </c>
      <c r="AH26" s="3">
        <f>'Inputs'!$B$32/12</f>
        <v>20000.0</v>
      </c>
      <c r="AI26" s="3">
        <f>'Inputs'!$B$35/12</f>
        <v>8333.333333333334</v>
      </c>
      <c r="AJ26" s="3">
        <f>'Inputs'!$B$38/12</f>
        <v>10000.0</v>
      </c>
      <c r="AK26" s="3">
        <f>MAX(1,ROUNDUP((SUM($D$26:$D$37)+0.5*SUM($E$26:$E$37))/'Inputs'!$B$40,0))</f>
        <v>5</v>
      </c>
      <c r="AL26" s="3">
        <f>AK26*'Inputs'!$B$39/12</f>
        <v>75000.0</v>
      </c>
      <c r="AM26" s="3">
        <f>D26*'Inputs'!$B$41+E26*'Inputs'!$B$42</f>
        <v>35000</v>
      </c>
      <c r="AN26" s="3">
        <f>0</f>
        <v>0</v>
      </c>
      <c r="AO26" s="3">
        <f>AF26+AG26+AH26+AI26+AJ26+AL26+AM26+AN26</f>
        <v>253833.33333333334</v>
      </c>
      <c r="AP26" s="3">
        <f>AE26-AO26</f>
        <v>220541.66666666677</v>
      </c>
      <c r="AQ26" s="3">
        <f>(D26+L26)*'Inputs'!$B$64/4</f>
        <v>1256250.0</v>
      </c>
      <c r="AR26" s="3">
        <f>(E26*'Inputs'!$B$25+R26*(1-'Inputs'!$B$25))*'Inputs'!$B$65</f>
        <v>110000.0</v>
      </c>
      <c r="AS26" s="3">
        <f>AQ26+AR26+U26</f>
        <v>1468750.0</v>
      </c>
      <c r="AT26" s="3">
        <f>IF(A26&gt;'Inputs'!$B$5,INDEX($AS$2:$AS$37,MAX(1,A26-'Inputs'!$B$5)),0)</f>
        <v>1297812.5</v>
      </c>
      <c r="AU26" s="3">
        <f>'Inputs'!$B$66*(O26*'Inputs'!$B$53+P26*(1-'Inputs'!$B$53)/3+Q26/4)</f>
        <v>446966.6666666667</v>
      </c>
      <c r="AV26" s="3">
        <f>(E26+E25)*('Inputs'!$B$19+'Inputs'!$B$20*'Inputs'!$B$21+'Inputs'!$B$22*'Inputs'!$B$11+'Inputs'!$B$23+'Inputs'!$B$24)/2</f>
        <v>94166.66666666667</v>
      </c>
      <c r="AW26" s="3">
        <f>AU26+X26+Z26+AV26+AC26+AO26</f>
        <v>1163258.3333333333</v>
      </c>
      <c r="AX26" s="3">
        <f>AT26-AW26</f>
        <v>134554.16666666674</v>
      </c>
      <c r="AY26" s="3">
        <f>AY25+AX26</f>
        <v>-1863180.2083333342</v>
      </c>
      <c r="AZ26" s="3">
        <f>AZ25+AS26-AT26</f>
        <v>2717812.5</v>
      </c>
      <c r="BA26" s="3">
        <f>BA25+AQ26+AR26-S26-T26</f>
        <v>1875625.0</v>
      </c>
      <c r="BB26" s="3">
        <f>BB25+AU26-W26</f>
        <v>979550.0000000003</v>
      </c>
      <c r="BC26" s="3">
        <f>BC25+AV26-AB26</f>
        <v>141250.0</v>
      </c>
      <c r="BD26" s="3">
        <f>J26*'Inputs'!$B$64</f>
        <v>12299999.999999998</v>
      </c>
      <c r="BE26" s="3">
        <f>(J26+K26)/'Inputs'!$B$9</f>
        <v>10.2</v>
      </c>
      <c r="BF26" s="3">
        <f>J26*'Inputs'!$B$12</f>
        <v>3.28</v>
      </c>
      <c r="BG26" s="3">
        <f>J26*'Inputs'!$B$14</f>
        <v>3.28</v>
      </c>
      <c r="BH26" s="3">
        <f>J26*'Inputs'!$B$10/12+E26*'Inputs'!$B$22</f>
        <v>19.333333333333332</v>
      </c>
      <c r="BI26" s="3">
        <f>'Inputs'!$B$6*'Inputs'!$B$7*(F26*('Inputs'!$B$49+'Inputs'!$B$47)+L26*('Inputs'!$B$49+'Inputs'!$B$48))+E26*'Inputs'!$B$46*'Inputs'!$B$18</f>
        <v>13184.0</v>
      </c>
    </row>
    <row r="27" spans="1:61">
      <c r="A27">
        <v>26</v>
      </c>
      <c r="B27" t="s">
        <v>201</v>
      </c>
      <c r="C27">
        <v>3</v>
      </c>
      <c r="D27" s="2">
        <v>2</v>
      </c>
      <c r="E27" s="2">
        <v>1</v>
      </c>
      <c r="F27" s="3">
        <f>IF(A27&gt;'Inputs'!$B$3,INDEX($D$2:$D$37,MAX(1,A27-'Inputs'!$B$3)),0)</f>
        <v>2</v>
      </c>
      <c r="G27" s="3">
        <f>F15+H15</f>
        <v>1.0</v>
      </c>
      <c r="H27" s="3">
        <f>G27*(1-'Inputs'!$B$68)</f>
        <v>0.85</v>
      </c>
      <c r="I27" s="3">
        <f>G27-H27</f>
        <v>0.15000000000000002</v>
      </c>
      <c r="J27" s="3">
        <f>J26+F27-I27</f>
        <v>18.25</v>
      </c>
      <c r="K27" s="3">
        <f>SUM($D$2:D27)-SUM($F$2:F27)</f>
        <v>4</v>
      </c>
      <c r="L27" s="3">
        <f>F24+H24+F21+H21+F18+H18+H27</f>
        <v>5.699999999999999</v>
      </c>
      <c r="M27" s="3">
        <f>F27+L27</f>
        <v>7.699999999999999</v>
      </c>
      <c r="N27" s="3">
        <f>IF(A27+1&gt;'Inputs'!$B$3,INDEX($D$2:$D$37,MAX(1,A27+1-'Inputs'!$B$3)),0)+F25+H25+F22+H22+F19+H19+(F16+H16)*(1-'Inputs'!$B$68)</f>
        <v>6.5725</v>
      </c>
      <c r="O27" s="3">
        <f>IF(A27+1&gt;'Inputs'!$B$3,INDEX($D$2:$D$37,MAX(1,A27+1-'Inputs'!$B$3)),0)</f>
        <v>2</v>
      </c>
      <c r="P27" s="3">
        <f>F25+F22+F19</f>
        <v>3</v>
      </c>
      <c r="Q27" s="3">
        <f>H25+H22+H19+(F16+H16)*(1-'Inputs'!$B$68)</f>
        <v>1.5725</v>
      </c>
      <c r="R27" s="3">
        <f>IF(A27&gt;'Inputs'!$B$4,INDEX($E$2:$E$37,MAX(1,A27-'Inputs'!$B$4)),0)</f>
        <v>1</v>
      </c>
      <c r="S27" s="3">
        <f>J27*'Inputs'!$B$64/12</f>
        <v>1140625.0</v>
      </c>
      <c r="T27" s="3">
        <f>R27*'Inputs'!$B$65</f>
        <v>110000</v>
      </c>
      <c r="U27" s="3">
        <f>S27*IF(C27&gt;1,'Inputs'!$B$70,0)</f>
        <v>114062.5</v>
      </c>
      <c r="V27" s="3">
        <f>SUM(S27:U27)</f>
        <v>1364687.5</v>
      </c>
      <c r="W27" s="3">
        <f>J27*'Inputs'!$B$66/12</f>
        <v>334583.3333333333</v>
      </c>
      <c r="X27" s="3">
        <f>J27*('Inputs'!$B$66*'Inputs'!$B$17+'Inputs'!$B$10*'Inputs'!$B$11+'Inputs'!$B$12*'Inputs'!$B$13+'Inputs'!$B$14*'Inputs'!$B$15+'Inputs'!$B$67+'Inputs'!$B$16)/12</f>
        <v>197708.33333333334</v>
      </c>
      <c r="Y27" s="3">
        <f>MAX(Y26,ROUNDUP((J27+K27)/'Inputs'!$B$9,0))</f>
        <v>12</v>
      </c>
      <c r="Z27" s="3">
        <f>Y27*'Inputs'!$B$8/12</f>
        <v>180000.0</v>
      </c>
      <c r="AA27" s="3">
        <f>W27+X27+Z27</f>
        <v>712291.6666666666</v>
      </c>
      <c r="AB27" s="3">
        <f>R27*('Inputs'!$B$19+'Inputs'!$B$20*'Inputs'!$B$21+'Inputs'!$B$22*'Inputs'!$B$11+'Inputs'!$B$23+'Inputs'!$B$24)</f>
        <v>94166.66666666667</v>
      </c>
      <c r="AC27" s="3">
        <f>U27*'Inputs'!$B$26</f>
        <v>28515.625</v>
      </c>
      <c r="AD27" s="3">
        <f>AA27+AB27+AC27</f>
        <v>834973.9583333333</v>
      </c>
      <c r="AE27" s="3">
        <f>V27-AD27</f>
        <v>529713.5416666667</v>
      </c>
      <c r="AF27" s="3">
        <f>'Inputs'!$B$29/12</f>
        <v>18000.0</v>
      </c>
      <c r="AG27" s="3">
        <f>'Inputs'!$B$73/12</f>
        <v>87500.0</v>
      </c>
      <c r="AH27" s="3">
        <f>'Inputs'!$B$32/12</f>
        <v>20000.0</v>
      </c>
      <c r="AI27" s="3">
        <f>'Inputs'!$B$35/12</f>
        <v>8333.333333333334</v>
      </c>
      <c r="AJ27" s="3">
        <f>'Inputs'!$B$38/12</f>
        <v>10000.0</v>
      </c>
      <c r="AK27" s="3">
        <f>MAX(1,ROUNDUP((SUM($D$26:$D$37)+0.5*SUM($E$26:$E$37))/'Inputs'!$B$40,0))</f>
        <v>5</v>
      </c>
      <c r="AL27" s="3">
        <f>AK27*'Inputs'!$B$39/12</f>
        <v>75000.0</v>
      </c>
      <c r="AM27" s="3">
        <f>D27*'Inputs'!$B$41+E27*'Inputs'!$B$42</f>
        <v>35000</v>
      </c>
      <c r="AN27" s="3">
        <f>0</f>
        <v>0</v>
      </c>
      <c r="AO27" s="3">
        <f>AF27+AG27+AH27+AI27+AJ27+AL27+AM27+AN27</f>
        <v>253833.33333333334</v>
      </c>
      <c r="AP27" s="3">
        <f>AE27-AO27</f>
        <v>275880.2083333334</v>
      </c>
      <c r="AQ27" s="3">
        <f>(D27+L27)*'Inputs'!$B$64/4</f>
        <v>1443749.9999999998</v>
      </c>
      <c r="AR27" s="3">
        <f>(E27*'Inputs'!$B$25+R27*(1-'Inputs'!$B$25))*'Inputs'!$B$65</f>
        <v>110000.0</v>
      </c>
      <c r="AS27" s="3">
        <f>AQ27+AR27+U27</f>
        <v>1667812.4999999998</v>
      </c>
      <c r="AT27" s="3">
        <f>IF(A27&gt;'Inputs'!$B$5,INDEX($AS$2:$AS$37,MAX(1,A27-'Inputs'!$B$5)),0)</f>
        <v>1249062.5</v>
      </c>
      <c r="AU27" s="3">
        <f>'Inputs'!$B$66*(O27*'Inputs'!$B$53+P27*(1-'Inputs'!$B$53)/3+Q27/4)</f>
        <v>396687.5</v>
      </c>
      <c r="AV27" s="3">
        <f>(E27+E26)*('Inputs'!$B$19+'Inputs'!$B$20*'Inputs'!$B$21+'Inputs'!$B$22*'Inputs'!$B$11+'Inputs'!$B$23+'Inputs'!$B$24)/2</f>
        <v>94166.66666666667</v>
      </c>
      <c r="AW27" s="3">
        <f>AU27+X27+Z27+AV27+AC27+AO27</f>
        <v>1150911.4583333333</v>
      </c>
      <c r="AX27" s="3">
        <f>AT27-AW27</f>
        <v>98151.04166666674</v>
      </c>
      <c r="AY27" s="3">
        <f>AY26+AX27</f>
        <v>-1765029.1666666674</v>
      </c>
      <c r="AZ27" s="3">
        <f>AZ26+AS27-AT27</f>
        <v>3136562.5</v>
      </c>
      <c r="BA27" s="3">
        <f>BA26+AQ27+AR27-S27-T27</f>
        <v>2178750.0</v>
      </c>
      <c r="BB27" s="3">
        <f>BB26+AU27-W27</f>
        <v>1041654.1666666672</v>
      </c>
      <c r="BC27" s="3">
        <f>BC26+AV27-AB27</f>
        <v>141250.0</v>
      </c>
      <c r="BD27" s="3">
        <f>J27*'Inputs'!$B$64</f>
        <v>13687500.0</v>
      </c>
      <c r="BE27" s="3">
        <f>(J27+K27)/'Inputs'!$B$9</f>
        <v>11.125</v>
      </c>
      <c r="BF27" s="3">
        <f>J27*'Inputs'!$B$12</f>
        <v>3.6500000000000004</v>
      </c>
      <c r="BG27" s="3">
        <f>J27*'Inputs'!$B$14</f>
        <v>3.6500000000000004</v>
      </c>
      <c r="BH27" s="3">
        <f>J27*'Inputs'!$B$10/12+E27*'Inputs'!$B$22</f>
        <v>20.875</v>
      </c>
      <c r="BI27" s="3">
        <f>'Inputs'!$B$6*'Inputs'!$B$7*(F27*('Inputs'!$B$49+'Inputs'!$B$47)+L27*('Inputs'!$B$49+'Inputs'!$B$48))+E27*'Inputs'!$B$46*'Inputs'!$B$18</f>
        <v>17504.0</v>
      </c>
    </row>
    <row r="28" spans="1:61">
      <c r="A28">
        <v>27</v>
      </c>
      <c r="B28" t="s">
        <v>202</v>
      </c>
      <c r="C28">
        <v>3</v>
      </c>
      <c r="D28" s="2">
        <v>3</v>
      </c>
      <c r="E28" s="2">
        <v>1</v>
      </c>
      <c r="F28" s="3">
        <f>IF(A28&gt;'Inputs'!$B$3,INDEX($D$2:$D$37,MAX(1,A28-'Inputs'!$B$3)),0)</f>
        <v>2</v>
      </c>
      <c r="G28" s="3">
        <f>F16+H16</f>
        <v>1.85</v>
      </c>
      <c r="H28" s="3">
        <f>G28*(1-'Inputs'!$B$68)</f>
        <v>1.5725</v>
      </c>
      <c r="I28" s="3">
        <f>G28-H28</f>
        <v>0.2775000000000001</v>
      </c>
      <c r="J28" s="3">
        <f>J27+F28-I28</f>
        <v>19.9725</v>
      </c>
      <c r="K28" s="3">
        <f>SUM($D$2:D28)-SUM($F$2:F28)</f>
        <v>5</v>
      </c>
      <c r="L28" s="3">
        <f>F25+H25+F22+H22+F19+H19+H28</f>
        <v>4.5725</v>
      </c>
      <c r="M28" s="3">
        <f>F28+L28</f>
        <v>6.5725</v>
      </c>
      <c r="N28" s="3">
        <f>IF(A28+1&gt;'Inputs'!$B$3,INDEX($D$2:$D$37,MAX(1,A28+1-'Inputs'!$B$3)),0)+F26+H26+F23+H23+F20+H20+(F17+H17)*(1-'Inputs'!$B$68)</f>
        <v>7.55</v>
      </c>
      <c r="O28" s="3">
        <f>IF(A28+1&gt;'Inputs'!$B$3,INDEX($D$2:$D$37,MAX(1,A28+1-'Inputs'!$B$3)),0)</f>
        <v>2</v>
      </c>
      <c r="P28" s="3">
        <f>F26+F23+F20</f>
        <v>3</v>
      </c>
      <c r="Q28" s="3">
        <f>H26+H23+H20+(F17+H17)*(1-'Inputs'!$B$68)</f>
        <v>2.55</v>
      </c>
      <c r="R28" s="3">
        <f>IF(A28&gt;'Inputs'!$B$4,INDEX($E$2:$E$37,MAX(1,A28-'Inputs'!$B$4)),0)</f>
        <v>1</v>
      </c>
      <c r="S28" s="3">
        <f>J28*'Inputs'!$B$64/12</f>
        <v>1248281.25</v>
      </c>
      <c r="T28" s="3">
        <f>R28*'Inputs'!$B$65</f>
        <v>110000</v>
      </c>
      <c r="U28" s="3">
        <f>S28*IF(C28&gt;1,'Inputs'!$B$70,0)</f>
        <v>124828.125</v>
      </c>
      <c r="V28" s="3">
        <f>SUM(S28:U28)</f>
        <v>1483109.375</v>
      </c>
      <c r="W28" s="3">
        <f>J28*'Inputs'!$B$66/12</f>
        <v>366162.5</v>
      </c>
      <c r="X28" s="3">
        <f>J28*('Inputs'!$B$66*'Inputs'!$B$17+'Inputs'!$B$10*'Inputs'!$B$11+'Inputs'!$B$12*'Inputs'!$B$13+'Inputs'!$B$14*'Inputs'!$B$15+'Inputs'!$B$67+'Inputs'!$B$16)/12</f>
        <v>216368.75</v>
      </c>
      <c r="Y28" s="3">
        <f>MAX(Y27,ROUNDUP((J28+K28)/'Inputs'!$B$9,0))</f>
        <v>13</v>
      </c>
      <c r="Z28" s="3">
        <f>Y28*'Inputs'!$B$8/12</f>
        <v>195000.0</v>
      </c>
      <c r="AA28" s="3">
        <f>W28+X28+Z28</f>
        <v>777531.25</v>
      </c>
      <c r="AB28" s="3">
        <f>R28*('Inputs'!$B$19+'Inputs'!$B$20*'Inputs'!$B$21+'Inputs'!$B$22*'Inputs'!$B$11+'Inputs'!$B$23+'Inputs'!$B$24)</f>
        <v>94166.66666666667</v>
      </c>
      <c r="AC28" s="3">
        <f>U28*'Inputs'!$B$26</f>
        <v>31207.03125</v>
      </c>
      <c r="AD28" s="3">
        <f>AA28+AB28+AC28</f>
        <v>902904.9479166666</v>
      </c>
      <c r="AE28" s="3">
        <f>V28-AD28</f>
        <v>580204.4270833334</v>
      </c>
      <c r="AF28" s="3">
        <f>'Inputs'!$B$29/12</f>
        <v>18000.0</v>
      </c>
      <c r="AG28" s="3">
        <f>'Inputs'!$B$73/12</f>
        <v>87500.0</v>
      </c>
      <c r="AH28" s="3">
        <f>'Inputs'!$B$32/12</f>
        <v>20000.0</v>
      </c>
      <c r="AI28" s="3">
        <f>'Inputs'!$B$35/12</f>
        <v>8333.333333333334</v>
      </c>
      <c r="AJ28" s="3">
        <f>'Inputs'!$B$38/12</f>
        <v>10000.0</v>
      </c>
      <c r="AK28" s="3">
        <f>MAX(1,ROUNDUP((SUM($D$26:$D$37)+0.5*SUM($E$26:$E$37))/'Inputs'!$B$40,0))</f>
        <v>5</v>
      </c>
      <c r="AL28" s="3">
        <f>AK28*'Inputs'!$B$39/12</f>
        <v>75000.0</v>
      </c>
      <c r="AM28" s="3">
        <f>D28*'Inputs'!$B$41+E28*'Inputs'!$B$42</f>
        <v>50000</v>
      </c>
      <c r="AN28" s="3">
        <f>0</f>
        <v>0</v>
      </c>
      <c r="AO28" s="3">
        <f>AF28+AG28+AH28+AI28+AJ28+AL28+AM28+AN28</f>
        <v>268833.3333333334</v>
      </c>
      <c r="AP28" s="3">
        <f>AE28-AO28</f>
        <v>311371.09375</v>
      </c>
      <c r="AQ28" s="3">
        <f>(D28+L28)*'Inputs'!$B$64/4</f>
        <v>1419843.75</v>
      </c>
      <c r="AR28" s="3">
        <f>(E28*'Inputs'!$B$25+R28*(1-'Inputs'!$B$25))*'Inputs'!$B$65</f>
        <v>110000.0</v>
      </c>
      <c r="AS28" s="3">
        <f>AQ28+AR28+U28</f>
        <v>1654671.875</v>
      </c>
      <c r="AT28" s="3">
        <f>IF(A28&gt;'Inputs'!$B$5,INDEX($AS$2:$AS$37,MAX(1,A28-'Inputs'!$B$5)),0)</f>
        <v>1468750.0</v>
      </c>
      <c r="AU28" s="3">
        <f>'Inputs'!$B$66*(O28*'Inputs'!$B$53+P28*(1-'Inputs'!$B$53)/3+Q28/4)</f>
        <v>450450.00000000006</v>
      </c>
      <c r="AV28" s="3">
        <f>(E28+E27)*('Inputs'!$B$19+'Inputs'!$B$20*'Inputs'!$B$21+'Inputs'!$B$22*'Inputs'!$B$11+'Inputs'!$B$23+'Inputs'!$B$24)/2</f>
        <v>94166.66666666667</v>
      </c>
      <c r="AW28" s="3">
        <f>AU28+X28+Z28+AV28+AC28+AO28</f>
        <v>1256025.78125</v>
      </c>
      <c r="AX28" s="3">
        <f>AT28-AW28</f>
        <v>212724.21875</v>
      </c>
      <c r="AY28" s="3">
        <f>AY27+AX28</f>
        <v>-1552304.9479166674</v>
      </c>
      <c r="AZ28" s="3">
        <f>AZ27+AS28-AT28</f>
        <v>3322484.375</v>
      </c>
      <c r="BA28" s="3">
        <f>BA27+AQ28+AR28-S28-T28</f>
        <v>2350312.5</v>
      </c>
      <c r="BB28" s="3">
        <f>BB27+AU28-W28</f>
        <v>1125941.6666666672</v>
      </c>
      <c r="BC28" s="3">
        <f>BC27+AV28-AB28</f>
        <v>141250.0</v>
      </c>
      <c r="BD28" s="3">
        <f>J28*'Inputs'!$B$64</f>
        <v>14979375.0</v>
      </c>
      <c r="BE28" s="3">
        <f>(J28+K28)/'Inputs'!$B$9</f>
        <v>12.48625</v>
      </c>
      <c r="BF28" s="3">
        <f>J28*'Inputs'!$B$12</f>
        <v>3.9945000000000004</v>
      </c>
      <c r="BG28" s="3">
        <f>J28*'Inputs'!$B$14</f>
        <v>3.9945000000000004</v>
      </c>
      <c r="BH28" s="3">
        <f>J28*'Inputs'!$B$10/12+E28*'Inputs'!$B$22</f>
        <v>22.31041666666667</v>
      </c>
      <c r="BI28" s="3">
        <f>'Inputs'!$B$6*'Inputs'!$B$7*(F28*('Inputs'!$B$49+'Inputs'!$B$47)+L28*('Inputs'!$B$49+'Inputs'!$B$48))+E28*'Inputs'!$B$46*'Inputs'!$B$18</f>
        <v>15339.199999999999</v>
      </c>
    </row>
    <row r="29" spans="1:61">
      <c r="A29">
        <v>28</v>
      </c>
      <c r="B29" t="s">
        <v>203</v>
      </c>
      <c r="C29">
        <v>3</v>
      </c>
      <c r="D29" s="2">
        <v>2</v>
      </c>
      <c r="E29" s="2">
        <v>1</v>
      </c>
      <c r="F29" s="3">
        <f>IF(A29&gt;'Inputs'!$B$3,INDEX($D$2:$D$37,MAX(1,A29-'Inputs'!$B$3)),0)</f>
        <v>2</v>
      </c>
      <c r="G29" s="3">
        <f>F17+H17</f>
        <v>1.0</v>
      </c>
      <c r="H29" s="3">
        <f>G29*(1-'Inputs'!$B$68)</f>
        <v>0.85</v>
      </c>
      <c r="I29" s="3">
        <f>G29-H29</f>
        <v>0.15000000000000002</v>
      </c>
      <c r="J29" s="3">
        <f>J28+F29-I29</f>
        <v>21.8225</v>
      </c>
      <c r="K29" s="3">
        <f>SUM($D$2:D29)-SUM($F$2:F29)</f>
        <v>5</v>
      </c>
      <c r="L29" s="3">
        <f>F26+H26+F23+H23+F20+H20+H29</f>
        <v>5.55</v>
      </c>
      <c r="M29" s="3">
        <f>F29+L29</f>
        <v>7.55</v>
      </c>
      <c r="N29" s="3">
        <f>IF(A29+1&gt;'Inputs'!$B$3,INDEX($D$2:$D$37,MAX(1,A29+1-'Inputs'!$B$3)),0)+F27+H27+F24+H24+F21+H21+(F18+H18)*(1-'Inputs'!$B$68)</f>
        <v>10.55</v>
      </c>
      <c r="O29" s="3">
        <f>IF(A29+1&gt;'Inputs'!$B$3,INDEX($D$2:$D$37,MAX(1,A29+1-'Inputs'!$B$3)),0)</f>
        <v>3</v>
      </c>
      <c r="P29" s="3">
        <f>F27+F24+F21</f>
        <v>5</v>
      </c>
      <c r="Q29" s="3">
        <f>H27+H24+H21+(F18+H18)*(1-'Inputs'!$B$68)</f>
        <v>2.55</v>
      </c>
      <c r="R29" s="3">
        <f>IF(A29&gt;'Inputs'!$B$4,INDEX($E$2:$E$37,MAX(1,A29-'Inputs'!$B$4)),0)</f>
        <v>1</v>
      </c>
      <c r="S29" s="3">
        <f>J29*'Inputs'!$B$64/12</f>
        <v>1363906.2500000002</v>
      </c>
      <c r="T29" s="3">
        <f>R29*'Inputs'!$B$65</f>
        <v>110000</v>
      </c>
      <c r="U29" s="3">
        <f>S29*IF(C29&gt;1,'Inputs'!$B$70,0)</f>
        <v>136390.62500000003</v>
      </c>
      <c r="V29" s="3">
        <f>SUM(S29:U29)</f>
        <v>1610296.8750000002</v>
      </c>
      <c r="W29" s="3">
        <f>J29*'Inputs'!$B$66/12</f>
        <v>400079.1666666667</v>
      </c>
      <c r="X29" s="3">
        <f>J29*('Inputs'!$B$66*'Inputs'!$B$17+'Inputs'!$B$10*'Inputs'!$B$11+'Inputs'!$B$12*'Inputs'!$B$13+'Inputs'!$B$14*'Inputs'!$B$15+'Inputs'!$B$67+'Inputs'!$B$16)/12</f>
        <v>236410.41666666666</v>
      </c>
      <c r="Y29" s="3">
        <f>MAX(Y28,ROUNDUP((J29+K29)/'Inputs'!$B$9,0))</f>
        <v>14</v>
      </c>
      <c r="Z29" s="3">
        <f>Y29*'Inputs'!$B$8/12</f>
        <v>210000.0</v>
      </c>
      <c r="AA29" s="3">
        <f>W29+X29+Z29</f>
        <v>846489.5833333334</v>
      </c>
      <c r="AB29" s="3">
        <f>R29*('Inputs'!$B$19+'Inputs'!$B$20*'Inputs'!$B$21+'Inputs'!$B$22*'Inputs'!$B$11+'Inputs'!$B$23+'Inputs'!$B$24)</f>
        <v>94166.66666666667</v>
      </c>
      <c r="AC29" s="3">
        <f>U29*'Inputs'!$B$26</f>
        <v>34097.65625000001</v>
      </c>
      <c r="AD29" s="3">
        <f>AA29+AB29+AC29</f>
        <v>974753.90625</v>
      </c>
      <c r="AE29" s="3">
        <f>V29-AD29</f>
        <v>635542.9687500002</v>
      </c>
      <c r="AF29" s="3">
        <f>'Inputs'!$B$29/12</f>
        <v>18000.0</v>
      </c>
      <c r="AG29" s="3">
        <f>'Inputs'!$B$73/12</f>
        <v>87500.0</v>
      </c>
      <c r="AH29" s="3">
        <f>'Inputs'!$B$32/12</f>
        <v>20000.0</v>
      </c>
      <c r="AI29" s="3">
        <f>'Inputs'!$B$35/12</f>
        <v>8333.333333333334</v>
      </c>
      <c r="AJ29" s="3">
        <f>'Inputs'!$B$38/12</f>
        <v>10000.0</v>
      </c>
      <c r="AK29" s="3">
        <f>MAX(1,ROUNDUP((SUM($D$26:$D$37)+0.5*SUM($E$26:$E$37))/'Inputs'!$B$40,0))</f>
        <v>5</v>
      </c>
      <c r="AL29" s="3">
        <f>AK29*'Inputs'!$B$39/12</f>
        <v>75000.0</v>
      </c>
      <c r="AM29" s="3">
        <f>D29*'Inputs'!$B$41+E29*'Inputs'!$B$42</f>
        <v>35000</v>
      </c>
      <c r="AN29" s="3">
        <f>0</f>
        <v>0</v>
      </c>
      <c r="AO29" s="3">
        <f>AF29+AG29+AH29+AI29+AJ29+AL29+AM29+AN29</f>
        <v>253833.33333333334</v>
      </c>
      <c r="AP29" s="3">
        <f>AE29-AO29</f>
        <v>381709.63541666686</v>
      </c>
      <c r="AQ29" s="3">
        <f>(D29+L29)*'Inputs'!$B$64/4</f>
        <v>1415625.0</v>
      </c>
      <c r="AR29" s="3">
        <f>(E29*'Inputs'!$B$25+R29*(1-'Inputs'!$B$25))*'Inputs'!$B$65</f>
        <v>110000.0</v>
      </c>
      <c r="AS29" s="3">
        <f>AQ29+AR29+U29</f>
        <v>1662015.625</v>
      </c>
      <c r="AT29" s="3">
        <f>IF(A29&gt;'Inputs'!$B$5,INDEX($AS$2:$AS$37,MAX(1,A29-'Inputs'!$B$5)),0)</f>
        <v>1667812.4999999998</v>
      </c>
      <c r="AU29" s="3">
        <f>'Inputs'!$B$66*(O29*'Inputs'!$B$53+P29*(1-'Inputs'!$B$53)/3+Q29/4)</f>
        <v>627183.3333333333</v>
      </c>
      <c r="AV29" s="3">
        <f>(E29+E28)*('Inputs'!$B$19+'Inputs'!$B$20*'Inputs'!$B$21+'Inputs'!$B$22*'Inputs'!$B$11+'Inputs'!$B$23+'Inputs'!$B$24)/2</f>
        <v>94166.66666666667</v>
      </c>
      <c r="AW29" s="3">
        <f>AU29+X29+Z29+AV29+AC29+AO29</f>
        <v>1455691.40625</v>
      </c>
      <c r="AX29" s="3">
        <f>AT29-AW29</f>
        <v>212121.09374999977</v>
      </c>
      <c r="AY29" s="3">
        <f>AY28+AX29</f>
        <v>-1340183.8541666677</v>
      </c>
      <c r="AZ29" s="3">
        <f>AZ28+AS29-AT29</f>
        <v>3316687.5</v>
      </c>
      <c r="BA29" s="3">
        <f>BA28+AQ29+AR29-S29-T29</f>
        <v>2402031.25</v>
      </c>
      <c r="BB29" s="3">
        <f>BB28+AU29-W29</f>
        <v>1353045.8333333337</v>
      </c>
      <c r="BC29" s="3">
        <f>BC28+AV29-AB29</f>
        <v>141250.0</v>
      </c>
      <c r="BD29" s="3">
        <f>J29*'Inputs'!$B$64</f>
        <v>16366875.000000002</v>
      </c>
      <c r="BE29" s="3">
        <f>(J29+K29)/'Inputs'!$B$9</f>
        <v>13.41125</v>
      </c>
      <c r="BF29" s="3">
        <f>J29*'Inputs'!$B$12</f>
        <v>4.3645000000000005</v>
      </c>
      <c r="BG29" s="3">
        <f>J29*'Inputs'!$B$14</f>
        <v>4.3645000000000005</v>
      </c>
      <c r="BH29" s="3">
        <f>J29*'Inputs'!$B$10/12+E29*'Inputs'!$B$22</f>
        <v>23.852083333333333</v>
      </c>
      <c r="BI29" s="3">
        <f>'Inputs'!$B$6*'Inputs'!$B$7*(F29*('Inputs'!$B$49+'Inputs'!$B$47)+L29*('Inputs'!$B$49+'Inputs'!$B$48))+E29*'Inputs'!$B$46*'Inputs'!$B$18</f>
        <v>17216.0</v>
      </c>
    </row>
    <row r="30" spans="1:61">
      <c r="A30">
        <v>29</v>
      </c>
      <c r="B30" t="s">
        <v>204</v>
      </c>
      <c r="C30">
        <v>3</v>
      </c>
      <c r="D30" s="2">
        <v>2</v>
      </c>
      <c r="E30" s="2">
        <v>1</v>
      </c>
      <c r="F30" s="3">
        <f>IF(A30&gt;'Inputs'!$B$3,INDEX($D$2:$D$37,MAX(1,A30-'Inputs'!$B$3)),0)</f>
        <v>3</v>
      </c>
      <c r="G30" s="3">
        <f>F18+H18</f>
        <v>1.0</v>
      </c>
      <c r="H30" s="3">
        <f>G30*(1-'Inputs'!$B$68)</f>
        <v>0.85</v>
      </c>
      <c r="I30" s="3">
        <f>G30-H30</f>
        <v>0.15000000000000002</v>
      </c>
      <c r="J30" s="3">
        <f>J29+F30-I30</f>
        <v>24.672500000000003</v>
      </c>
      <c r="K30" s="3">
        <f>SUM($D$2:D30)-SUM($F$2:F30)</f>
        <v>4</v>
      </c>
      <c r="L30" s="3">
        <f>F27+H27+F24+H24+F21+H21+H30</f>
        <v>7.55</v>
      </c>
      <c r="M30" s="3">
        <f>F30+L30</f>
        <v>10.55</v>
      </c>
      <c r="N30" s="3">
        <f>IF(A30+1&gt;'Inputs'!$B$3,INDEX($D$2:$D$37,MAX(1,A30+1-'Inputs'!$B$3)),0)+F28+H28+F25+H25+F22+H22+(F19+H19)*(1-'Inputs'!$B$68)</f>
        <v>8.4225</v>
      </c>
      <c r="O30" s="3">
        <f>IF(A30+1&gt;'Inputs'!$B$3,INDEX($D$2:$D$37,MAX(1,A30+1-'Inputs'!$B$3)),0)</f>
        <v>2</v>
      </c>
      <c r="P30" s="3">
        <f>F28+F25+F22</f>
        <v>4</v>
      </c>
      <c r="Q30" s="3">
        <f>H28+H25+H22+(F19+H19)*(1-'Inputs'!$B$68)</f>
        <v>2.4225</v>
      </c>
      <c r="R30" s="3">
        <f>IF(A30&gt;'Inputs'!$B$4,INDEX($E$2:$E$37,MAX(1,A30-'Inputs'!$B$4)),0)</f>
        <v>1</v>
      </c>
      <c r="S30" s="3">
        <f>J30*'Inputs'!$B$64/12</f>
        <v>1542031.2500000002</v>
      </c>
      <c r="T30" s="3">
        <f>R30*'Inputs'!$B$65</f>
        <v>110000</v>
      </c>
      <c r="U30" s="3">
        <f>S30*IF(C30&gt;1,'Inputs'!$B$70,0)</f>
        <v>154203.12500000003</v>
      </c>
      <c r="V30" s="3">
        <f>SUM(S30:U30)</f>
        <v>1806234.3750000002</v>
      </c>
      <c r="W30" s="3">
        <f>J30*'Inputs'!$B$66/12</f>
        <v>452329.16666666674</v>
      </c>
      <c r="X30" s="3">
        <f>J30*('Inputs'!$B$66*'Inputs'!$B$17+'Inputs'!$B$10*'Inputs'!$B$11+'Inputs'!$B$12*'Inputs'!$B$13+'Inputs'!$B$14*'Inputs'!$B$15+'Inputs'!$B$67+'Inputs'!$B$16)/12</f>
        <v>267285.4166666667</v>
      </c>
      <c r="Y30" s="3">
        <f>MAX(Y29,ROUNDUP((J30+K30)/'Inputs'!$B$9,0))</f>
        <v>15</v>
      </c>
      <c r="Z30" s="3">
        <f>Y30*'Inputs'!$B$8/12</f>
        <v>225000.0</v>
      </c>
      <c r="AA30" s="3">
        <f>W30+X30+Z30</f>
        <v>944614.5833333335</v>
      </c>
      <c r="AB30" s="3">
        <f>R30*('Inputs'!$B$19+'Inputs'!$B$20*'Inputs'!$B$21+'Inputs'!$B$22*'Inputs'!$B$11+'Inputs'!$B$23+'Inputs'!$B$24)</f>
        <v>94166.66666666667</v>
      </c>
      <c r="AC30" s="3">
        <f>U30*'Inputs'!$B$26</f>
        <v>38550.78125000001</v>
      </c>
      <c r="AD30" s="3">
        <f>AA30+AB30+AC30</f>
        <v>1077332.0312500002</v>
      </c>
      <c r="AE30" s="3">
        <f>V30-AD30</f>
        <v>728902.34375</v>
      </c>
      <c r="AF30" s="3">
        <f>'Inputs'!$B$29/12</f>
        <v>18000.0</v>
      </c>
      <c r="AG30" s="3">
        <f>'Inputs'!$B$73/12</f>
        <v>87500.0</v>
      </c>
      <c r="AH30" s="3">
        <f>'Inputs'!$B$32/12</f>
        <v>20000.0</v>
      </c>
      <c r="AI30" s="3">
        <f>'Inputs'!$B$35/12</f>
        <v>8333.333333333334</v>
      </c>
      <c r="AJ30" s="3">
        <f>'Inputs'!$B$38/12</f>
        <v>10000.0</v>
      </c>
      <c r="AK30" s="3">
        <f>MAX(1,ROUNDUP((SUM($D$26:$D$37)+0.5*SUM($E$26:$E$37))/'Inputs'!$B$40,0))</f>
        <v>5</v>
      </c>
      <c r="AL30" s="3">
        <f>AK30*'Inputs'!$B$39/12</f>
        <v>75000.0</v>
      </c>
      <c r="AM30" s="3">
        <f>D30*'Inputs'!$B$41+E30*'Inputs'!$B$42</f>
        <v>35000</v>
      </c>
      <c r="AN30" s="3">
        <f>0</f>
        <v>0</v>
      </c>
      <c r="AO30" s="3">
        <f>AF30+AG30+AH30+AI30+AJ30+AL30+AM30+AN30</f>
        <v>253833.33333333334</v>
      </c>
      <c r="AP30" s="3">
        <f>AE30-AO30</f>
        <v>475069.0104166666</v>
      </c>
      <c r="AQ30" s="3">
        <f>(D30+L30)*'Inputs'!$B$64/4</f>
        <v>1790625.0000000002</v>
      </c>
      <c r="AR30" s="3">
        <f>(E30*'Inputs'!$B$25+R30*(1-'Inputs'!$B$25))*'Inputs'!$B$65</f>
        <v>110000.0</v>
      </c>
      <c r="AS30" s="3">
        <f>AQ30+AR30+U30</f>
        <v>2054828.1250000002</v>
      </c>
      <c r="AT30" s="3">
        <f>IF(A30&gt;'Inputs'!$B$5,INDEX($AS$2:$AS$37,MAX(1,A30-'Inputs'!$B$5)),0)</f>
        <v>1654671.875</v>
      </c>
      <c r="AU30" s="3">
        <f>'Inputs'!$B$66*(O30*'Inputs'!$B$53+P30*(1-'Inputs'!$B$53)/3+Q30/4)</f>
        <v>486704.1666666667</v>
      </c>
      <c r="AV30" s="3">
        <f>(E30+E29)*('Inputs'!$B$19+'Inputs'!$B$20*'Inputs'!$B$21+'Inputs'!$B$22*'Inputs'!$B$11+'Inputs'!$B$23+'Inputs'!$B$24)/2</f>
        <v>94166.66666666667</v>
      </c>
      <c r="AW30" s="3">
        <f>AU30+X30+Z30+AV30+AC30+AO30</f>
        <v>1365540.3645833333</v>
      </c>
      <c r="AX30" s="3">
        <f>AT30-AW30</f>
        <v>289131.51041666674</v>
      </c>
      <c r="AY30" s="3">
        <f>AY29+AX30</f>
        <v>-1051052.343750001</v>
      </c>
      <c r="AZ30" s="3">
        <f>AZ29+AS30-AT30</f>
        <v>3716843.75</v>
      </c>
      <c r="BA30" s="3">
        <f>BA29+AQ30+AR30-S30-T30</f>
        <v>2650625.0</v>
      </c>
      <c r="BB30" s="3">
        <f>BB29+AU30-W30</f>
        <v>1387420.8333333337</v>
      </c>
      <c r="BC30" s="3">
        <f>BC29+AV30-AB30</f>
        <v>141250.0</v>
      </c>
      <c r="BD30" s="3">
        <f>J30*'Inputs'!$B$64</f>
        <v>18504375.000000004</v>
      </c>
      <c r="BE30" s="3">
        <f>(J30+K30)/'Inputs'!$B$9</f>
        <v>14.336250000000001</v>
      </c>
      <c r="BF30" s="3">
        <f>J30*'Inputs'!$B$12</f>
        <v>4.934500000000001</v>
      </c>
      <c r="BG30" s="3">
        <f>J30*'Inputs'!$B$14</f>
        <v>4.934500000000001</v>
      </c>
      <c r="BH30" s="3">
        <f>J30*'Inputs'!$B$10/12+E30*'Inputs'!$B$22</f>
        <v>26.227083333333333</v>
      </c>
      <c r="BI30" s="3">
        <f>'Inputs'!$B$6*'Inputs'!$B$7*(F30*('Inputs'!$B$49+'Inputs'!$B$47)+L30*('Inputs'!$B$49+'Inputs'!$B$48))+E30*'Inputs'!$B$46*'Inputs'!$B$18</f>
        <v>23456.0</v>
      </c>
    </row>
    <row r="31" spans="1:61">
      <c r="A31">
        <v>30</v>
      </c>
      <c r="B31" t="s">
        <v>205</v>
      </c>
      <c r="C31">
        <v>3</v>
      </c>
      <c r="D31" s="2">
        <v>3</v>
      </c>
      <c r="E31" s="2">
        <v>1</v>
      </c>
      <c r="F31" s="3">
        <f>IF(A31&gt;'Inputs'!$B$3,INDEX($D$2:$D$37,MAX(1,A31-'Inputs'!$B$3)),0)</f>
        <v>2</v>
      </c>
      <c r="G31" s="3">
        <f>F19+H19</f>
        <v>1.0</v>
      </c>
      <c r="H31" s="3">
        <f>G31*(1-'Inputs'!$B$68)</f>
        <v>0.85</v>
      </c>
      <c r="I31" s="3">
        <f>G31-H31</f>
        <v>0.15000000000000002</v>
      </c>
      <c r="J31" s="3">
        <f>J30+F31-I31</f>
        <v>26.522500000000004</v>
      </c>
      <c r="K31" s="3">
        <f>SUM($D$2:D31)-SUM($F$2:F31)</f>
        <v>5</v>
      </c>
      <c r="L31" s="3">
        <f>F28+H28+F25+H25+F22+H22+H31</f>
        <v>6.422499999999999</v>
      </c>
      <c r="M31" s="3">
        <f>F31+L31</f>
        <v>8.4225</v>
      </c>
      <c r="N31" s="3">
        <f>IF(A31+1&gt;'Inputs'!$B$3,INDEX($D$2:$D$37,MAX(1,A31+1-'Inputs'!$B$3)),0)+F29+H29+F26+H26+F23+H23+(F20+H20)*(1-'Inputs'!$B$68)</f>
        <v>9.4</v>
      </c>
      <c r="O31" s="3">
        <f>IF(A31+1&gt;'Inputs'!$B$3,INDEX($D$2:$D$37,MAX(1,A31+1-'Inputs'!$B$3)),0)</f>
        <v>2</v>
      </c>
      <c r="P31" s="3">
        <f>F29+F26+F23</f>
        <v>4</v>
      </c>
      <c r="Q31" s="3">
        <f>H29+H26+H23+(F20+H20)*(1-'Inputs'!$B$68)</f>
        <v>3.4</v>
      </c>
      <c r="R31" s="3">
        <f>IF(A31&gt;'Inputs'!$B$4,INDEX($E$2:$E$37,MAX(1,A31-'Inputs'!$B$4)),0)</f>
        <v>1</v>
      </c>
      <c r="S31" s="3">
        <f>J31*'Inputs'!$B$64/12</f>
        <v>1657656.2500000002</v>
      </c>
      <c r="T31" s="3">
        <f>R31*'Inputs'!$B$65</f>
        <v>110000</v>
      </c>
      <c r="U31" s="3">
        <f>S31*IF(C31&gt;1,'Inputs'!$B$70,0)</f>
        <v>165765.62500000003</v>
      </c>
      <c r="V31" s="3">
        <f>SUM(S31:U31)</f>
        <v>1933421.8750000002</v>
      </c>
      <c r="W31" s="3">
        <f>J31*'Inputs'!$B$66/12</f>
        <v>486245.83333333343</v>
      </c>
      <c r="X31" s="3">
        <f>J31*('Inputs'!$B$66*'Inputs'!$B$17+'Inputs'!$B$10*'Inputs'!$B$11+'Inputs'!$B$12*'Inputs'!$B$13+'Inputs'!$B$14*'Inputs'!$B$15+'Inputs'!$B$67+'Inputs'!$B$16)/12</f>
        <v>287327.0833333334</v>
      </c>
      <c r="Y31" s="3">
        <f>MAX(Y30,ROUNDUP((J31+K31)/'Inputs'!$B$9,0))</f>
        <v>16</v>
      </c>
      <c r="Z31" s="3">
        <f>Y31*'Inputs'!$B$8/12</f>
        <v>240000.0</v>
      </c>
      <c r="AA31" s="3">
        <f>W31+X31+Z31</f>
        <v>1013572.9166666667</v>
      </c>
      <c r="AB31" s="3">
        <f>R31*('Inputs'!$B$19+'Inputs'!$B$20*'Inputs'!$B$21+'Inputs'!$B$22*'Inputs'!$B$11+'Inputs'!$B$23+'Inputs'!$B$24)</f>
        <v>94166.66666666667</v>
      </c>
      <c r="AC31" s="3">
        <f>U31*'Inputs'!$B$26</f>
        <v>41441.40625000001</v>
      </c>
      <c r="AD31" s="3">
        <f>AA31+AB31+AC31</f>
        <v>1149180.9895833335</v>
      </c>
      <c r="AE31" s="3">
        <f>V31-AD31</f>
        <v>784240.8854166667</v>
      </c>
      <c r="AF31" s="3">
        <f>'Inputs'!$B$29/12</f>
        <v>18000.0</v>
      </c>
      <c r="AG31" s="3">
        <f>'Inputs'!$B$73/12</f>
        <v>87500.0</v>
      </c>
      <c r="AH31" s="3">
        <f>'Inputs'!$B$32/12</f>
        <v>20000.0</v>
      </c>
      <c r="AI31" s="3">
        <f>'Inputs'!$B$35/12</f>
        <v>8333.333333333334</v>
      </c>
      <c r="AJ31" s="3">
        <f>'Inputs'!$B$38/12</f>
        <v>10000.0</v>
      </c>
      <c r="AK31" s="3">
        <f>MAX(1,ROUNDUP((SUM($D$26:$D$37)+0.5*SUM($E$26:$E$37))/'Inputs'!$B$40,0))</f>
        <v>5</v>
      </c>
      <c r="AL31" s="3">
        <f>AK31*'Inputs'!$B$39/12</f>
        <v>75000.0</v>
      </c>
      <c r="AM31" s="3">
        <f>D31*'Inputs'!$B$41+E31*'Inputs'!$B$42</f>
        <v>50000</v>
      </c>
      <c r="AN31" s="3">
        <f>0</f>
        <v>0</v>
      </c>
      <c r="AO31" s="3">
        <f>AF31+AG31+AH31+AI31+AJ31+AL31+AM31+AN31</f>
        <v>268833.3333333334</v>
      </c>
      <c r="AP31" s="3">
        <f>AE31-AO31</f>
        <v>515407.5520833334</v>
      </c>
      <c r="AQ31" s="3">
        <f>(D31+L31)*'Inputs'!$B$64/4</f>
        <v>1766718.75</v>
      </c>
      <c r="AR31" s="3">
        <f>(E31*'Inputs'!$B$25+R31*(1-'Inputs'!$B$25))*'Inputs'!$B$65</f>
        <v>110000.0</v>
      </c>
      <c r="AS31" s="3">
        <f>AQ31+AR31+U31</f>
        <v>2042484.375</v>
      </c>
      <c r="AT31" s="3">
        <f>IF(A31&gt;'Inputs'!$B$5,INDEX($AS$2:$AS$37,MAX(1,A31-'Inputs'!$B$5)),0)</f>
        <v>1662015.625</v>
      </c>
      <c r="AU31" s="3">
        <f>'Inputs'!$B$66*(O31*'Inputs'!$B$53+P31*(1-'Inputs'!$B$53)/3+Q31/4)</f>
        <v>540466.6666666666</v>
      </c>
      <c r="AV31" s="3">
        <f>(E31+E30)*('Inputs'!$B$19+'Inputs'!$B$20*'Inputs'!$B$21+'Inputs'!$B$22*'Inputs'!$B$11+'Inputs'!$B$23+'Inputs'!$B$24)/2</f>
        <v>94166.66666666667</v>
      </c>
      <c r="AW31" s="3">
        <f>AU31+X31+Z31+AV31+AC31+AO31</f>
        <v>1472235.15625</v>
      </c>
      <c r="AX31" s="3">
        <f>AT31-AW31</f>
        <v>189780.46875</v>
      </c>
      <c r="AY31" s="3">
        <f>AY30+AX31</f>
        <v>-861271.8750000009</v>
      </c>
      <c r="AZ31" s="3">
        <f>AZ30+AS31-AT31</f>
        <v>4097312.5</v>
      </c>
      <c r="BA31" s="3">
        <f>BA30+AQ31+AR31-S31-T31</f>
        <v>2759687.5</v>
      </c>
      <c r="BB31" s="3">
        <f>BB30+AU31-W31</f>
        <v>1441641.666666667</v>
      </c>
      <c r="BC31" s="3">
        <f>BC30+AV31-AB31</f>
        <v>141250.0</v>
      </c>
      <c r="BD31" s="3">
        <f>J31*'Inputs'!$B$64</f>
        <v>19891875.000000004</v>
      </c>
      <c r="BE31" s="3">
        <f>(J31+K31)/'Inputs'!$B$9</f>
        <v>15.761250000000002</v>
      </c>
      <c r="BF31" s="3">
        <f>J31*'Inputs'!$B$12</f>
        <v>5.304500000000001</v>
      </c>
      <c r="BG31" s="3">
        <f>J31*'Inputs'!$B$14</f>
        <v>5.304500000000001</v>
      </c>
      <c r="BH31" s="3">
        <f>J31*'Inputs'!$B$10/12+E31*'Inputs'!$B$22</f>
        <v>27.768750000000004</v>
      </c>
      <c r="BI31" s="3">
        <f>'Inputs'!$B$6*'Inputs'!$B$7*(F31*('Inputs'!$B$49+'Inputs'!$B$47)+L31*('Inputs'!$B$49+'Inputs'!$B$48))+E31*'Inputs'!$B$46*'Inputs'!$B$18</f>
        <v>18891.199999999997</v>
      </c>
    </row>
    <row r="32" spans="1:61">
      <c r="A32">
        <v>31</v>
      </c>
      <c r="B32" t="s">
        <v>206</v>
      </c>
      <c r="C32">
        <v>3</v>
      </c>
      <c r="D32" s="2">
        <v>2</v>
      </c>
      <c r="E32" s="2">
        <v>1</v>
      </c>
      <c r="F32" s="3">
        <f>IF(A32&gt;'Inputs'!$B$3,INDEX($D$2:$D$37,MAX(1,A32-'Inputs'!$B$3)),0)</f>
        <v>2</v>
      </c>
      <c r="G32" s="3">
        <f>F20+H20</f>
        <v>1.0</v>
      </c>
      <c r="H32" s="3">
        <f>G32*(1-'Inputs'!$B$68)</f>
        <v>0.85</v>
      </c>
      <c r="I32" s="3">
        <f>G32-H32</f>
        <v>0.15000000000000002</v>
      </c>
      <c r="J32" s="3">
        <f>J31+F32-I32</f>
        <v>28.372500000000006</v>
      </c>
      <c r="K32" s="3">
        <f>SUM($D$2:D32)-SUM($F$2:F32)</f>
        <v>5</v>
      </c>
      <c r="L32" s="3">
        <f>F29+H29+F26+H26+F23+H23+H32</f>
        <v>7.4</v>
      </c>
      <c r="M32" s="3">
        <f>F32+L32</f>
        <v>9.4</v>
      </c>
      <c r="N32" s="3">
        <f>IF(A32+1&gt;'Inputs'!$B$3,INDEX($D$2:$D$37,MAX(1,A32+1-'Inputs'!$B$3)),0)+F30+H30+F27+H27+F24+H24+(F21+H21)*(1-'Inputs'!$B$68)</f>
        <v>13.25</v>
      </c>
      <c r="O32" s="3">
        <f>IF(A32+1&gt;'Inputs'!$B$3,INDEX($D$2:$D$37,MAX(1,A32+1-'Inputs'!$B$3)),0)</f>
        <v>3</v>
      </c>
      <c r="P32" s="3">
        <f>F30+F27+F24</f>
        <v>6</v>
      </c>
      <c r="Q32" s="3">
        <f>H30+H27+H24+(F21+H21)*(1-'Inputs'!$B$68)</f>
        <v>4.25</v>
      </c>
      <c r="R32" s="3">
        <f>IF(A32&gt;'Inputs'!$B$4,INDEX($E$2:$E$37,MAX(1,A32-'Inputs'!$B$4)),0)</f>
        <v>1</v>
      </c>
      <c r="S32" s="3">
        <f>J32*'Inputs'!$B$64/12</f>
        <v>1773281.2500000002</v>
      </c>
      <c r="T32" s="3">
        <f>R32*'Inputs'!$B$65</f>
        <v>110000</v>
      </c>
      <c r="U32" s="3">
        <f>S32*IF(C32&gt;1,'Inputs'!$B$70,0)</f>
        <v>177328.12500000003</v>
      </c>
      <c r="V32" s="3">
        <f>SUM(S32:U32)</f>
        <v>2060609.3750000002</v>
      </c>
      <c r="W32" s="3">
        <f>J32*'Inputs'!$B$66/12</f>
        <v>520162.50000000006</v>
      </c>
      <c r="X32" s="3">
        <f>J32*('Inputs'!$B$66*'Inputs'!$B$17+'Inputs'!$B$10*'Inputs'!$B$11+'Inputs'!$B$12*'Inputs'!$B$13+'Inputs'!$B$14*'Inputs'!$B$15+'Inputs'!$B$67+'Inputs'!$B$16)/12</f>
        <v>307368.75000000006</v>
      </c>
      <c r="Y32" s="3">
        <f>MAX(Y31,ROUNDUP((J32+K32)/'Inputs'!$B$9,0))</f>
        <v>17</v>
      </c>
      <c r="Z32" s="3">
        <f>Y32*'Inputs'!$B$8/12</f>
        <v>255000.0</v>
      </c>
      <c r="AA32" s="3">
        <f>W32+X32+Z32</f>
        <v>1082531.25</v>
      </c>
      <c r="AB32" s="3">
        <f>R32*('Inputs'!$B$19+'Inputs'!$B$20*'Inputs'!$B$21+'Inputs'!$B$22*'Inputs'!$B$11+'Inputs'!$B$23+'Inputs'!$B$24)</f>
        <v>94166.66666666667</v>
      </c>
      <c r="AC32" s="3">
        <f>U32*'Inputs'!$B$26</f>
        <v>44332.03125000001</v>
      </c>
      <c r="AD32" s="3">
        <f>AA32+AB32+AC32</f>
        <v>1221029.9479166667</v>
      </c>
      <c r="AE32" s="3">
        <f>V32-AD32</f>
        <v>839579.4270833335</v>
      </c>
      <c r="AF32" s="3">
        <f>'Inputs'!$B$29/12</f>
        <v>18000.0</v>
      </c>
      <c r="AG32" s="3">
        <f>'Inputs'!$B$73/12</f>
        <v>87500.0</v>
      </c>
      <c r="AH32" s="3">
        <f>'Inputs'!$B$32/12</f>
        <v>20000.0</v>
      </c>
      <c r="AI32" s="3">
        <f>'Inputs'!$B$35/12</f>
        <v>8333.333333333334</v>
      </c>
      <c r="AJ32" s="3">
        <f>'Inputs'!$B$38/12</f>
        <v>10000.0</v>
      </c>
      <c r="AK32" s="3">
        <f>MAX(1,ROUNDUP((SUM($D$26:$D$37)+0.5*SUM($E$26:$E$37))/'Inputs'!$B$40,0))</f>
        <v>5</v>
      </c>
      <c r="AL32" s="3">
        <f>AK32*'Inputs'!$B$39/12</f>
        <v>75000.0</v>
      </c>
      <c r="AM32" s="3">
        <f>D32*'Inputs'!$B$41+E32*'Inputs'!$B$42</f>
        <v>35000</v>
      </c>
      <c r="AN32" s="3">
        <f>0</f>
        <v>0</v>
      </c>
      <c r="AO32" s="3">
        <f>AF32+AG32+AH32+AI32+AJ32+AL32+AM32+AN32</f>
        <v>253833.33333333334</v>
      </c>
      <c r="AP32" s="3">
        <f>AE32-AO32</f>
        <v>585746.0937500001</v>
      </c>
      <c r="AQ32" s="3">
        <f>(D32+L32)*'Inputs'!$B$64/4</f>
        <v>1762500.0</v>
      </c>
      <c r="AR32" s="3">
        <f>(E32*'Inputs'!$B$25+R32*(1-'Inputs'!$B$25))*'Inputs'!$B$65</f>
        <v>110000.0</v>
      </c>
      <c r="AS32" s="3">
        <f>AQ32+AR32+U32</f>
        <v>2049828.125</v>
      </c>
      <c r="AT32" s="3">
        <f>IF(A32&gt;'Inputs'!$B$5,INDEX($AS$2:$AS$37,MAX(1,A32-'Inputs'!$B$5)),0)</f>
        <v>2054828.1250000002</v>
      </c>
      <c r="AU32" s="3">
        <f>'Inputs'!$B$66*(O32*'Inputs'!$B$53+P32*(1-'Inputs'!$B$53)/3+Q32/4)</f>
        <v>763950.0</v>
      </c>
      <c r="AV32" s="3">
        <f>(E32+E31)*('Inputs'!$B$19+'Inputs'!$B$20*'Inputs'!$B$21+'Inputs'!$B$22*'Inputs'!$B$11+'Inputs'!$B$23+'Inputs'!$B$24)/2</f>
        <v>94166.66666666667</v>
      </c>
      <c r="AW32" s="3">
        <f>AU32+X32+Z32+AV32+AC32+AO32</f>
        <v>1718650.78125</v>
      </c>
      <c r="AX32" s="3">
        <f>AT32-AW32</f>
        <v>336177.34375000023</v>
      </c>
      <c r="AY32" s="3">
        <f>AY31+AX32</f>
        <v>-525094.5312500007</v>
      </c>
      <c r="AZ32" s="3">
        <f>AZ31+AS32-AT32</f>
        <v>4092312.5</v>
      </c>
      <c r="BA32" s="3">
        <f>BA31+AQ32+AR32-S32-T32</f>
        <v>2748906.25</v>
      </c>
      <c r="BB32" s="3">
        <f>BB31+AU32-W32</f>
        <v>1685429.166666667</v>
      </c>
      <c r="BC32" s="3">
        <f>BC31+AV32-AB32</f>
        <v>141250.0</v>
      </c>
      <c r="BD32" s="3">
        <f>J32*'Inputs'!$B$64</f>
        <v>21279375.000000004</v>
      </c>
      <c r="BE32" s="3">
        <f>(J32+K32)/'Inputs'!$B$9</f>
        <v>16.68625</v>
      </c>
      <c r="BF32" s="3">
        <f>J32*'Inputs'!$B$12</f>
        <v>5.674500000000002</v>
      </c>
      <c r="BG32" s="3">
        <f>J32*'Inputs'!$B$14</f>
        <v>5.674500000000002</v>
      </c>
      <c r="BH32" s="3">
        <f>J32*'Inputs'!$B$10/12+E32*'Inputs'!$B$22</f>
        <v>29.310416666666676</v>
      </c>
      <c r="BI32" s="3">
        <f>'Inputs'!$B$6*'Inputs'!$B$7*(F32*('Inputs'!$B$49+'Inputs'!$B$47)+L32*('Inputs'!$B$49+'Inputs'!$B$48))+E32*'Inputs'!$B$46*'Inputs'!$B$18</f>
        <v>20768.0</v>
      </c>
    </row>
    <row r="33" spans="1:61">
      <c r="A33">
        <v>32</v>
      </c>
      <c r="B33" t="s">
        <v>207</v>
      </c>
      <c r="C33">
        <v>3</v>
      </c>
      <c r="D33" s="2">
        <v>2</v>
      </c>
      <c r="E33" s="2">
        <v>1</v>
      </c>
      <c r="F33" s="3">
        <f>IF(A33&gt;'Inputs'!$B$3,INDEX($D$2:$D$37,MAX(1,A33-'Inputs'!$B$3)),0)</f>
        <v>3</v>
      </c>
      <c r="G33" s="3">
        <f>F21+H21</f>
        <v>2.0</v>
      </c>
      <c r="H33" s="3">
        <f>G33*(1-'Inputs'!$B$68)</f>
        <v>1.7</v>
      </c>
      <c r="I33" s="3">
        <f>G33-H33</f>
        <v>0.30000000000000004</v>
      </c>
      <c r="J33" s="3">
        <f>J32+F33-I33</f>
        <v>31.072500000000005</v>
      </c>
      <c r="K33" s="3">
        <f>SUM($D$2:D33)-SUM($F$2:F33)</f>
        <v>4</v>
      </c>
      <c r="L33" s="3">
        <f>F30+H30+F27+H27+F24+H24+H33</f>
        <v>10.25</v>
      </c>
      <c r="M33" s="3">
        <f>F33+L33</f>
        <v>13.25</v>
      </c>
      <c r="N33" s="3">
        <f>IF(A33+1&gt;'Inputs'!$B$3,INDEX($D$2:$D$37,MAX(1,A33+1-'Inputs'!$B$3)),0)+F31+H31+F28+H28+F25+H25+(F22+H22)*(1-'Inputs'!$B$68)</f>
        <v>10.272499999999999</v>
      </c>
      <c r="O33" s="3">
        <f>IF(A33+1&gt;'Inputs'!$B$3,INDEX($D$2:$D$37,MAX(1,A33+1-'Inputs'!$B$3)),0)</f>
        <v>2</v>
      </c>
      <c r="P33" s="3">
        <f>F31+F28+F25</f>
        <v>5</v>
      </c>
      <c r="Q33" s="3">
        <f>H31+H28+H25+(F22+H22)*(1-'Inputs'!$B$68)</f>
        <v>3.2725</v>
      </c>
      <c r="R33" s="3">
        <f>IF(A33&gt;'Inputs'!$B$4,INDEX($E$2:$E$37,MAX(1,A33-'Inputs'!$B$4)),0)</f>
        <v>1</v>
      </c>
      <c r="S33" s="3">
        <f>J33*'Inputs'!$B$64/12</f>
        <v>1942031.2500000002</v>
      </c>
      <c r="T33" s="3">
        <f>R33*'Inputs'!$B$65</f>
        <v>110000</v>
      </c>
      <c r="U33" s="3">
        <f>S33*IF(C33&gt;1,'Inputs'!$B$70,0)</f>
        <v>194203.12500000003</v>
      </c>
      <c r="V33" s="3">
        <f>SUM(S33:U33)</f>
        <v>2246234.3750000005</v>
      </c>
      <c r="W33" s="3">
        <f>J33*'Inputs'!$B$66/12</f>
        <v>569662.5000000001</v>
      </c>
      <c r="X33" s="3">
        <f>J33*('Inputs'!$B$66*'Inputs'!$B$17+'Inputs'!$B$10*'Inputs'!$B$11+'Inputs'!$B$12*'Inputs'!$B$13+'Inputs'!$B$14*'Inputs'!$B$15+'Inputs'!$B$67+'Inputs'!$B$16)/12</f>
        <v>336618.75000000006</v>
      </c>
      <c r="Y33" s="3">
        <f>MAX(Y32,ROUNDUP((J33+K33)/'Inputs'!$B$9,0))</f>
        <v>18</v>
      </c>
      <c r="Z33" s="3">
        <f>Y33*'Inputs'!$B$8/12</f>
        <v>270000.0</v>
      </c>
      <c r="AA33" s="3">
        <f>W33+X33+Z33</f>
        <v>1176281.2500000002</v>
      </c>
      <c r="AB33" s="3">
        <f>R33*('Inputs'!$B$19+'Inputs'!$B$20*'Inputs'!$B$21+'Inputs'!$B$22*'Inputs'!$B$11+'Inputs'!$B$23+'Inputs'!$B$24)</f>
        <v>94166.66666666667</v>
      </c>
      <c r="AC33" s="3">
        <f>U33*'Inputs'!$B$26</f>
        <v>48550.78125000001</v>
      </c>
      <c r="AD33" s="3">
        <f>AA33+AB33+AC33</f>
        <v>1318998.697916667</v>
      </c>
      <c r="AE33" s="3">
        <f>V33-AD33</f>
        <v>927235.6770833335</v>
      </c>
      <c r="AF33" s="3">
        <f>'Inputs'!$B$29/12</f>
        <v>18000.0</v>
      </c>
      <c r="AG33" s="3">
        <f>'Inputs'!$B$73/12</f>
        <v>87500.0</v>
      </c>
      <c r="AH33" s="3">
        <f>'Inputs'!$B$32/12</f>
        <v>20000.0</v>
      </c>
      <c r="AI33" s="3">
        <f>'Inputs'!$B$35/12</f>
        <v>8333.333333333334</v>
      </c>
      <c r="AJ33" s="3">
        <f>'Inputs'!$B$38/12</f>
        <v>10000.0</v>
      </c>
      <c r="AK33" s="3">
        <f>MAX(1,ROUNDUP((SUM($D$26:$D$37)+0.5*SUM($E$26:$E$37))/'Inputs'!$B$40,0))</f>
        <v>5</v>
      </c>
      <c r="AL33" s="3">
        <f>AK33*'Inputs'!$B$39/12</f>
        <v>75000.0</v>
      </c>
      <c r="AM33" s="3">
        <f>D33*'Inputs'!$B$41+E33*'Inputs'!$B$42</f>
        <v>35000</v>
      </c>
      <c r="AN33" s="3">
        <f>0</f>
        <v>0</v>
      </c>
      <c r="AO33" s="3">
        <f>AF33+AG33+AH33+AI33+AJ33+AL33+AM33+AN33</f>
        <v>253833.33333333334</v>
      </c>
      <c r="AP33" s="3">
        <f>AE33-AO33</f>
        <v>673402.3437500001</v>
      </c>
      <c r="AQ33" s="3">
        <f>(D33+L33)*'Inputs'!$B$64/4</f>
        <v>2296875.0</v>
      </c>
      <c r="AR33" s="3">
        <f>(E33*'Inputs'!$B$25+R33*(1-'Inputs'!$B$25))*'Inputs'!$B$65</f>
        <v>110000.0</v>
      </c>
      <c r="AS33" s="3">
        <f>AQ33+AR33+U33</f>
        <v>2601078.125</v>
      </c>
      <c r="AT33" s="3">
        <f>IF(A33&gt;'Inputs'!$B$5,INDEX($AS$2:$AS$37,MAX(1,A33-'Inputs'!$B$5)),0)</f>
        <v>2042484.375</v>
      </c>
      <c r="AU33" s="3">
        <f>'Inputs'!$B$66*(O33*'Inputs'!$B$53+P33*(1-'Inputs'!$B$53)/3+Q33/4)</f>
        <v>576720.8333333333</v>
      </c>
      <c r="AV33" s="3">
        <f>(E33+E32)*('Inputs'!$B$19+'Inputs'!$B$20*'Inputs'!$B$21+'Inputs'!$B$22*'Inputs'!$B$11+'Inputs'!$B$23+'Inputs'!$B$24)/2</f>
        <v>94166.66666666667</v>
      </c>
      <c r="AW33" s="3">
        <f>AU33+X33+Z33+AV33+AC33+AO33</f>
        <v>1579890.3645833333</v>
      </c>
      <c r="AX33" s="3">
        <f>AT33-AW33</f>
        <v>462594.01041666674</v>
      </c>
      <c r="AY33" s="3">
        <f>AY32+AX33</f>
        <v>-62500.520833333954</v>
      </c>
      <c r="AZ33" s="3">
        <f>AZ32+AS33-AT33</f>
        <v>4650906.25</v>
      </c>
      <c r="BA33" s="3">
        <f>BA32+AQ33+AR33-S33-T33</f>
        <v>3103750.0</v>
      </c>
      <c r="BB33" s="3">
        <f>BB32+AU33-W33</f>
        <v>1692487.5</v>
      </c>
      <c r="BC33" s="3">
        <f>BC32+AV33-AB33</f>
        <v>141250.0</v>
      </c>
      <c r="BD33" s="3">
        <f>J33*'Inputs'!$B$64</f>
        <v>23304375.000000004</v>
      </c>
      <c r="BE33" s="3">
        <f>(J33+K33)/'Inputs'!$B$9</f>
        <v>17.536250000000003</v>
      </c>
      <c r="BF33" s="3">
        <f>J33*'Inputs'!$B$12</f>
        <v>6.214500000000001</v>
      </c>
      <c r="BG33" s="3">
        <f>J33*'Inputs'!$B$14</f>
        <v>6.214500000000001</v>
      </c>
      <c r="BH33" s="3">
        <f>J33*'Inputs'!$B$10/12+E33*'Inputs'!$B$22</f>
        <v>31.56041666666667</v>
      </c>
      <c r="BI33" s="3">
        <f>'Inputs'!$B$6*'Inputs'!$B$7*(F33*('Inputs'!$B$49+'Inputs'!$B$47)+L33*('Inputs'!$B$49+'Inputs'!$B$48))+E33*'Inputs'!$B$46*'Inputs'!$B$18</f>
        <v>28640.0</v>
      </c>
    </row>
    <row r="34" spans="1:61">
      <c r="A34">
        <v>33</v>
      </c>
      <c r="B34" t="s">
        <v>208</v>
      </c>
      <c r="C34">
        <v>3</v>
      </c>
      <c r="D34" s="2">
        <v>3</v>
      </c>
      <c r="E34" s="2">
        <v>1</v>
      </c>
      <c r="F34" s="3">
        <f>IF(A34&gt;'Inputs'!$B$3,INDEX($D$2:$D$37,MAX(1,A34-'Inputs'!$B$3)),0)</f>
        <v>2</v>
      </c>
      <c r="G34" s="3">
        <f>F22+H22</f>
        <v>1.0</v>
      </c>
      <c r="H34" s="3">
        <f>G34*(1-'Inputs'!$B$68)</f>
        <v>0.85</v>
      </c>
      <c r="I34" s="3">
        <f>G34-H34</f>
        <v>0.15000000000000002</v>
      </c>
      <c r="J34" s="3">
        <f>J33+F34-I34</f>
        <v>32.92250000000001</v>
      </c>
      <c r="K34" s="3">
        <f>SUM($D$2:D34)-SUM($F$2:F34)</f>
        <v>5</v>
      </c>
      <c r="L34" s="3">
        <f>F31+H31+F28+H28+F25+H25+H34</f>
        <v>8.272499999999999</v>
      </c>
      <c r="M34" s="3">
        <f>F34+L34</f>
        <v>10.272499999999999</v>
      </c>
      <c r="N34" s="3">
        <f>IF(A34+1&gt;'Inputs'!$B$3,INDEX($D$2:$D$37,MAX(1,A34+1-'Inputs'!$B$3)),0)+F32+H32+F29+H29+F26+H26+(F23+H23)*(1-'Inputs'!$B$68)</f>
        <v>11.1225</v>
      </c>
      <c r="O34" s="3">
        <f>IF(A34+1&gt;'Inputs'!$B$3,INDEX($D$2:$D$37,MAX(1,A34+1-'Inputs'!$B$3)),0)</f>
        <v>2</v>
      </c>
      <c r="P34" s="3">
        <f>F32+F29+F26</f>
        <v>5</v>
      </c>
      <c r="Q34" s="3">
        <f>H32+H29+H26+(F23+H23)*(1-'Inputs'!$B$68)</f>
        <v>4.1225</v>
      </c>
      <c r="R34" s="3">
        <f>IF(A34&gt;'Inputs'!$B$4,INDEX($E$2:$E$37,MAX(1,A34-'Inputs'!$B$4)),0)</f>
        <v>1</v>
      </c>
      <c r="S34" s="3">
        <f>J34*'Inputs'!$B$64/12</f>
        <v>2057656.2500000002</v>
      </c>
      <c r="T34" s="3">
        <f>R34*'Inputs'!$B$65</f>
        <v>110000</v>
      </c>
      <c r="U34" s="3">
        <f>S34*IF(C34&gt;1,'Inputs'!$B$70,0)</f>
        <v>205765.62500000003</v>
      </c>
      <c r="V34" s="3">
        <f>SUM(S34:U34)</f>
        <v>2373421.875</v>
      </c>
      <c r="W34" s="3">
        <f>J34*'Inputs'!$B$66/12</f>
        <v>603579.1666666669</v>
      </c>
      <c r="X34" s="3">
        <f>J34*('Inputs'!$B$66*'Inputs'!$B$17+'Inputs'!$B$10*'Inputs'!$B$11+'Inputs'!$B$12*'Inputs'!$B$13+'Inputs'!$B$14*'Inputs'!$B$15+'Inputs'!$B$67+'Inputs'!$B$16)/12</f>
        <v>356660.41666666674</v>
      </c>
      <c r="Y34" s="3">
        <f>MAX(Y33,ROUNDUP((J34+K34)/'Inputs'!$B$9,0))</f>
        <v>19</v>
      </c>
      <c r="Z34" s="3">
        <f>Y34*'Inputs'!$B$8/12</f>
        <v>285000.0</v>
      </c>
      <c r="AA34" s="3">
        <f>W34+X34+Z34</f>
        <v>1245239.5833333335</v>
      </c>
      <c r="AB34" s="3">
        <f>R34*('Inputs'!$B$19+'Inputs'!$B$20*'Inputs'!$B$21+'Inputs'!$B$22*'Inputs'!$B$11+'Inputs'!$B$23+'Inputs'!$B$24)</f>
        <v>94166.66666666667</v>
      </c>
      <c r="AC34" s="3">
        <f>U34*'Inputs'!$B$26</f>
        <v>51441.40625000001</v>
      </c>
      <c r="AD34" s="3">
        <f>AA34+AB34+AC34</f>
        <v>1390847.6562500002</v>
      </c>
      <c r="AE34" s="3">
        <f>V34-AD34</f>
        <v>982574.2187499998</v>
      </c>
      <c r="AF34" s="3">
        <f>'Inputs'!$B$29/12</f>
        <v>18000.0</v>
      </c>
      <c r="AG34" s="3">
        <f>'Inputs'!$B$73/12</f>
        <v>87500.0</v>
      </c>
      <c r="AH34" s="3">
        <f>'Inputs'!$B$32/12</f>
        <v>20000.0</v>
      </c>
      <c r="AI34" s="3">
        <f>'Inputs'!$B$35/12</f>
        <v>8333.333333333334</v>
      </c>
      <c r="AJ34" s="3">
        <f>'Inputs'!$B$38/12</f>
        <v>10000.0</v>
      </c>
      <c r="AK34" s="3">
        <f>MAX(1,ROUNDUP((SUM($D$26:$D$37)+0.5*SUM($E$26:$E$37))/'Inputs'!$B$40,0))</f>
        <v>5</v>
      </c>
      <c r="AL34" s="3">
        <f>AK34*'Inputs'!$B$39/12</f>
        <v>75000.0</v>
      </c>
      <c r="AM34" s="3">
        <f>D34*'Inputs'!$B$41+E34*'Inputs'!$B$42</f>
        <v>50000</v>
      </c>
      <c r="AN34" s="3">
        <f>0</f>
        <v>0</v>
      </c>
      <c r="AO34" s="3">
        <f>AF34+AG34+AH34+AI34+AJ34+AL34+AM34+AN34</f>
        <v>268833.3333333334</v>
      </c>
      <c r="AP34" s="3">
        <f>AE34-AO34</f>
        <v>713740.8854166664</v>
      </c>
      <c r="AQ34" s="3">
        <f>(D34+L34)*'Inputs'!$B$64/4</f>
        <v>2113593.75</v>
      </c>
      <c r="AR34" s="3">
        <f>(E34*'Inputs'!$B$25+R34*(1-'Inputs'!$B$25))*'Inputs'!$B$65</f>
        <v>110000.0</v>
      </c>
      <c r="AS34" s="3">
        <f>AQ34+AR34+U34</f>
        <v>2429359.375</v>
      </c>
      <c r="AT34" s="3">
        <f>IF(A34&gt;'Inputs'!$B$5,INDEX($AS$2:$AS$37,MAX(1,A34-'Inputs'!$B$5)),0)</f>
        <v>2049828.125</v>
      </c>
      <c r="AU34" s="3">
        <f>'Inputs'!$B$66*(O34*'Inputs'!$B$53+P34*(1-'Inputs'!$B$53)/3+Q34/4)</f>
        <v>623470.8333333334</v>
      </c>
      <c r="AV34" s="3">
        <f>(E34+E33)*('Inputs'!$B$19+'Inputs'!$B$20*'Inputs'!$B$21+'Inputs'!$B$22*'Inputs'!$B$11+'Inputs'!$B$23+'Inputs'!$B$24)/2</f>
        <v>94166.66666666667</v>
      </c>
      <c r="AW34" s="3">
        <f>AU34+X34+Z34+AV34+AC34+AO34</f>
        <v>1679572.65625</v>
      </c>
      <c r="AX34" s="3">
        <f>AT34-AW34</f>
        <v>370255.46875</v>
      </c>
      <c r="AY34" s="3">
        <f>AY33+AX34</f>
        <v>307754.94791666605</v>
      </c>
      <c r="AZ34" s="3">
        <f>AZ33+AS34-AT34</f>
        <v>5030437.5</v>
      </c>
      <c r="BA34" s="3">
        <f>BA33+AQ34+AR34-S34-T34</f>
        <v>3159687.5</v>
      </c>
      <c r="BB34" s="3">
        <f>BB33+AU34-W34</f>
        <v>1712379.1666666665</v>
      </c>
      <c r="BC34" s="3">
        <f>BC33+AV34-AB34</f>
        <v>141250.0</v>
      </c>
      <c r="BD34" s="3">
        <f>J34*'Inputs'!$B$64</f>
        <v>24691875.000000004</v>
      </c>
      <c r="BE34" s="3">
        <f>(J34+K34)/'Inputs'!$B$9</f>
        <v>18.961250000000003</v>
      </c>
      <c r="BF34" s="3">
        <f>J34*'Inputs'!$B$12</f>
        <v>6.584500000000002</v>
      </c>
      <c r="BG34" s="3">
        <f>J34*'Inputs'!$B$14</f>
        <v>6.584500000000002</v>
      </c>
      <c r="BH34" s="3">
        <f>J34*'Inputs'!$B$10/12+E34*'Inputs'!$B$22</f>
        <v>33.10208333333334</v>
      </c>
      <c r="BI34" s="3">
        <f>'Inputs'!$B$6*'Inputs'!$B$7*(F34*('Inputs'!$B$49+'Inputs'!$B$47)+L34*('Inputs'!$B$49+'Inputs'!$B$48))+E34*'Inputs'!$B$46*'Inputs'!$B$18</f>
        <v>22443.199999999997</v>
      </c>
    </row>
    <row r="35" spans="1:61">
      <c r="A35">
        <v>34</v>
      </c>
      <c r="B35" t="s">
        <v>209</v>
      </c>
      <c r="C35">
        <v>3</v>
      </c>
      <c r="D35" s="2">
        <v>2</v>
      </c>
      <c r="E35" s="2">
        <v>1</v>
      </c>
      <c r="F35" s="3">
        <f>IF(A35&gt;'Inputs'!$B$3,INDEX($D$2:$D$37,MAX(1,A35-'Inputs'!$B$3)),0)</f>
        <v>2</v>
      </c>
      <c r="G35" s="3">
        <f>F23+H23</f>
        <v>1.85</v>
      </c>
      <c r="H35" s="3">
        <f>G35*(1-'Inputs'!$B$68)</f>
        <v>1.5725</v>
      </c>
      <c r="I35" s="3">
        <f>G35-H35</f>
        <v>0.2775000000000001</v>
      </c>
      <c r="J35" s="3">
        <f>J34+F35-I35</f>
        <v>34.645</v>
      </c>
      <c r="K35" s="3">
        <f>SUM($D$2:D35)-SUM($F$2:F35)</f>
        <v>5</v>
      </c>
      <c r="L35" s="3">
        <f>F32+H32+F29+H29+F26+H26+H35</f>
        <v>9.1225</v>
      </c>
      <c r="M35" s="3">
        <f>F35+L35</f>
        <v>11.1225</v>
      </c>
      <c r="N35" s="3">
        <f>IF(A35+1&gt;'Inputs'!$B$3,INDEX($D$2:$D$37,MAX(1,A35+1-'Inputs'!$B$3)),0)+F33+H33+F30+H30+F27+H27+(F24+H24)*(1-'Inputs'!$B$68)</f>
        <v>15.9725</v>
      </c>
      <c r="O35" s="3">
        <f>IF(A35+1&gt;'Inputs'!$B$3,INDEX($D$2:$D$37,MAX(1,A35+1-'Inputs'!$B$3)),0)</f>
        <v>3</v>
      </c>
      <c r="P35" s="3">
        <f>F33+F30+F27</f>
        <v>8</v>
      </c>
      <c r="Q35" s="3">
        <f>H33+H30+H27+(F24+H24)*(1-'Inputs'!$B$68)</f>
        <v>4.9725</v>
      </c>
      <c r="R35" s="3">
        <f>IF(A35&gt;'Inputs'!$B$4,INDEX($E$2:$E$37,MAX(1,A35-'Inputs'!$B$4)),0)</f>
        <v>1</v>
      </c>
      <c r="S35" s="3">
        <f>J35*'Inputs'!$B$64/12</f>
        <v>2165312.5000000005</v>
      </c>
      <c r="T35" s="3">
        <f>R35*'Inputs'!$B$65</f>
        <v>110000</v>
      </c>
      <c r="U35" s="3">
        <f>S35*IF(C35&gt;1,'Inputs'!$B$70,0)</f>
        <v>216531.25000000006</v>
      </c>
      <c r="V35" s="3">
        <f>SUM(S35:U35)</f>
        <v>2491843.7500000005</v>
      </c>
      <c r="W35" s="3">
        <f>J35*'Inputs'!$B$66/12</f>
        <v>635158.3333333334</v>
      </c>
      <c r="X35" s="3">
        <f>J35*('Inputs'!$B$66*'Inputs'!$B$17+'Inputs'!$B$10*'Inputs'!$B$11+'Inputs'!$B$12*'Inputs'!$B$13+'Inputs'!$B$14*'Inputs'!$B$15+'Inputs'!$B$67+'Inputs'!$B$16)/12</f>
        <v>375320.8333333333</v>
      </c>
      <c r="Y35" s="3">
        <f>MAX(Y34,ROUNDUP((J35+K35)/'Inputs'!$B$9,0))</f>
        <v>20</v>
      </c>
      <c r="Z35" s="3">
        <f>Y35*'Inputs'!$B$8/12</f>
        <v>300000.0</v>
      </c>
      <c r="AA35" s="3">
        <f>W35+X35+Z35</f>
        <v>1310479.1666666667</v>
      </c>
      <c r="AB35" s="3">
        <f>R35*('Inputs'!$B$19+'Inputs'!$B$20*'Inputs'!$B$21+'Inputs'!$B$22*'Inputs'!$B$11+'Inputs'!$B$23+'Inputs'!$B$24)</f>
        <v>94166.66666666667</v>
      </c>
      <c r="AC35" s="3">
        <f>U35*'Inputs'!$B$26</f>
        <v>54132.812500000015</v>
      </c>
      <c r="AD35" s="3">
        <f>AA35+AB35+AC35</f>
        <v>1458778.6458333335</v>
      </c>
      <c r="AE35" s="3">
        <f>V35-AD35</f>
        <v>1033065.104166667</v>
      </c>
      <c r="AF35" s="3">
        <f>'Inputs'!$B$29/12</f>
        <v>18000.0</v>
      </c>
      <c r="AG35" s="3">
        <f>'Inputs'!$B$73/12</f>
        <v>87500.0</v>
      </c>
      <c r="AH35" s="3">
        <f>'Inputs'!$B$32/12</f>
        <v>20000.0</v>
      </c>
      <c r="AI35" s="3">
        <f>'Inputs'!$B$35/12</f>
        <v>8333.333333333334</v>
      </c>
      <c r="AJ35" s="3">
        <f>'Inputs'!$B$38/12</f>
        <v>10000.0</v>
      </c>
      <c r="AK35" s="3">
        <f>MAX(1,ROUNDUP((SUM($D$26:$D$37)+0.5*SUM($E$26:$E$37))/'Inputs'!$B$40,0))</f>
        <v>5</v>
      </c>
      <c r="AL35" s="3">
        <f>AK35*'Inputs'!$B$39/12</f>
        <v>75000.0</v>
      </c>
      <c r="AM35" s="3">
        <f>D35*'Inputs'!$B$41+E35*'Inputs'!$B$42</f>
        <v>35000</v>
      </c>
      <c r="AN35" s="3">
        <f>0</f>
        <v>0</v>
      </c>
      <c r="AO35" s="3">
        <f>AF35+AG35+AH35+AI35+AJ35+AL35+AM35+AN35</f>
        <v>253833.33333333334</v>
      </c>
      <c r="AP35" s="3">
        <f>AE35-AO35</f>
        <v>779231.7708333336</v>
      </c>
      <c r="AQ35" s="3">
        <f>(D35+L35)*'Inputs'!$B$64/4</f>
        <v>2085468.75</v>
      </c>
      <c r="AR35" s="3">
        <f>(E35*'Inputs'!$B$25+R35*(1-'Inputs'!$B$25))*'Inputs'!$B$65</f>
        <v>110000.0</v>
      </c>
      <c r="AS35" s="3">
        <f>AQ35+AR35+U35</f>
        <v>2412000.0</v>
      </c>
      <c r="AT35" s="3">
        <f>IF(A35&gt;'Inputs'!$B$5,INDEX($AS$2:$AS$37,MAX(1,A35-'Inputs'!$B$5)),0)</f>
        <v>2601078.125</v>
      </c>
      <c r="AU35" s="3">
        <f>'Inputs'!$B$66*(O35*'Inputs'!$B$53+P35*(1-'Inputs'!$B$53)/3+Q35/4)</f>
        <v>890220.8333333334</v>
      </c>
      <c r="AV35" s="3">
        <f>(E35+E34)*('Inputs'!$B$19+'Inputs'!$B$20*'Inputs'!$B$21+'Inputs'!$B$22*'Inputs'!$B$11+'Inputs'!$B$23+'Inputs'!$B$24)/2</f>
        <v>94166.66666666667</v>
      </c>
      <c r="AW35" s="3">
        <f>AU35+X35+Z35+AV35+AC35+AO35</f>
        <v>1967674.4791666667</v>
      </c>
      <c r="AX35" s="3">
        <f>AT35-AW35</f>
        <v>633403.6458333333</v>
      </c>
      <c r="AY35" s="3">
        <f>AY34+AX35</f>
        <v>941158.5937499993</v>
      </c>
      <c r="AZ35" s="3">
        <f>AZ34+AS35-AT35</f>
        <v>4841359.375</v>
      </c>
      <c r="BA35" s="3">
        <f>BA34+AQ35+AR35-S35-T35</f>
        <v>3079843.7499999995</v>
      </c>
      <c r="BB35" s="3">
        <f>BB34+AU35-W35</f>
        <v>1967441.6666666665</v>
      </c>
      <c r="BC35" s="3">
        <f>BC34+AV35-AB35</f>
        <v>141250.0</v>
      </c>
      <c r="BD35" s="3">
        <f>J35*'Inputs'!$B$64</f>
        <v>25983750.000000004</v>
      </c>
      <c r="BE35" s="3">
        <f>(J35+K35)/'Inputs'!$B$9</f>
        <v>19.8225</v>
      </c>
      <c r="BF35" s="3">
        <f>J35*'Inputs'!$B$12</f>
        <v>6.929000000000001</v>
      </c>
      <c r="BG35" s="3">
        <f>J35*'Inputs'!$B$14</f>
        <v>6.929000000000001</v>
      </c>
      <c r="BH35" s="3">
        <f>J35*'Inputs'!$B$10/12+E35*'Inputs'!$B$22</f>
        <v>34.5375</v>
      </c>
      <c r="BI35" s="3">
        <f>'Inputs'!$B$6*'Inputs'!$B$7*(F35*('Inputs'!$B$49+'Inputs'!$B$47)+L35*('Inputs'!$B$49+'Inputs'!$B$48))+E35*'Inputs'!$B$46*'Inputs'!$B$18</f>
        <v>24075.2</v>
      </c>
    </row>
    <row r="36" spans="1:61">
      <c r="A36">
        <v>35</v>
      </c>
      <c r="B36" t="s">
        <v>210</v>
      </c>
      <c r="C36">
        <v>3</v>
      </c>
      <c r="D36" s="2">
        <v>2</v>
      </c>
      <c r="E36" s="2">
        <v>1</v>
      </c>
      <c r="F36" s="3">
        <f>IF(A36&gt;'Inputs'!$B$3,INDEX($D$2:$D$37,MAX(1,A36-'Inputs'!$B$3)),0)</f>
        <v>3</v>
      </c>
      <c r="G36" s="3">
        <f>F24+H24</f>
        <v>1.85</v>
      </c>
      <c r="H36" s="3">
        <f>G36*(1-'Inputs'!$B$68)</f>
        <v>1.5725</v>
      </c>
      <c r="I36" s="3">
        <f>G36-H36</f>
        <v>0.2775000000000001</v>
      </c>
      <c r="J36" s="3">
        <f>J35+F36-I36</f>
        <v>37.3675</v>
      </c>
      <c r="K36" s="3">
        <f>SUM($D$2:D36)-SUM($F$2:F36)</f>
        <v>4</v>
      </c>
      <c r="L36" s="3">
        <f>F33+H33+F30+H30+F27+H27+H36</f>
        <v>12.9725</v>
      </c>
      <c r="M36" s="3">
        <f>F36+L36</f>
        <v>15.9725</v>
      </c>
      <c r="N36" s="3">
        <f>IF(A36+1&gt;'Inputs'!$B$3,INDEX($D$2:$D$37,MAX(1,A36+1-'Inputs'!$B$3)),0)+F34+H34+F31+H31+F28+H28+(F25+H25)*(1-'Inputs'!$B$68)</f>
        <v>12.1225</v>
      </c>
      <c r="O36" s="3">
        <f>IF(A36+1&gt;'Inputs'!$B$3,INDEX($D$2:$D$37,MAX(1,A36+1-'Inputs'!$B$3)),0)</f>
        <v>2</v>
      </c>
      <c r="P36" s="3">
        <f>F34+F31+F28</f>
        <v>6</v>
      </c>
      <c r="Q36" s="3">
        <f>H34+H31+H28+(F25+H25)*(1-'Inputs'!$B$68)</f>
        <v>4.1225</v>
      </c>
      <c r="R36" s="3">
        <f>IF(A36&gt;'Inputs'!$B$4,INDEX($E$2:$E$37,MAX(1,A36-'Inputs'!$B$4)),0)</f>
        <v>1</v>
      </c>
      <c r="S36" s="3">
        <f>J36*'Inputs'!$B$64/12</f>
        <v>2335468.75</v>
      </c>
      <c r="T36" s="3">
        <f>R36*'Inputs'!$B$65</f>
        <v>110000</v>
      </c>
      <c r="U36" s="3">
        <f>S36*IF(C36&gt;1,'Inputs'!$B$70,0)</f>
        <v>233546.875</v>
      </c>
      <c r="V36" s="3">
        <f>SUM(S36:U36)</f>
        <v>2679015.625</v>
      </c>
      <c r="W36" s="3">
        <f>J36*'Inputs'!$B$66/12</f>
        <v>685070.8333333334</v>
      </c>
      <c r="X36" s="3">
        <f>J36*('Inputs'!$B$66*'Inputs'!$B$17+'Inputs'!$B$10*'Inputs'!$B$11+'Inputs'!$B$12*'Inputs'!$B$13+'Inputs'!$B$14*'Inputs'!$B$15+'Inputs'!$B$67+'Inputs'!$B$16)/12</f>
        <v>404814.5833333333</v>
      </c>
      <c r="Y36" s="3">
        <f>MAX(Y35,ROUNDUP((J36+K36)/'Inputs'!$B$9,0))</f>
        <v>21</v>
      </c>
      <c r="Z36" s="3">
        <f>Y36*'Inputs'!$B$8/12</f>
        <v>315000.0</v>
      </c>
      <c r="AA36" s="3">
        <f>W36+X36+Z36</f>
        <v>1404885.4166666667</v>
      </c>
      <c r="AB36" s="3">
        <f>R36*('Inputs'!$B$19+'Inputs'!$B$20*'Inputs'!$B$21+'Inputs'!$B$22*'Inputs'!$B$11+'Inputs'!$B$23+'Inputs'!$B$24)</f>
        <v>94166.66666666667</v>
      </c>
      <c r="AC36" s="3">
        <f>U36*'Inputs'!$B$26</f>
        <v>58386.71875</v>
      </c>
      <c r="AD36" s="3">
        <f>AA36+AB36+AC36</f>
        <v>1557438.8020833335</v>
      </c>
      <c r="AE36" s="3">
        <f>V36-AD36</f>
        <v>1121576.8229166665</v>
      </c>
      <c r="AF36" s="3">
        <f>'Inputs'!$B$29/12</f>
        <v>18000.0</v>
      </c>
      <c r="AG36" s="3">
        <f>'Inputs'!$B$73/12</f>
        <v>87500.0</v>
      </c>
      <c r="AH36" s="3">
        <f>'Inputs'!$B$32/12</f>
        <v>20000.0</v>
      </c>
      <c r="AI36" s="3">
        <f>'Inputs'!$B$35/12</f>
        <v>8333.333333333334</v>
      </c>
      <c r="AJ36" s="3">
        <f>'Inputs'!$B$38/12</f>
        <v>10000.0</v>
      </c>
      <c r="AK36" s="3">
        <f>MAX(1,ROUNDUP((SUM($D$26:$D$37)+0.5*SUM($E$26:$E$37))/'Inputs'!$B$40,0))</f>
        <v>5</v>
      </c>
      <c r="AL36" s="3">
        <f>AK36*'Inputs'!$B$39/12</f>
        <v>75000.0</v>
      </c>
      <c r="AM36" s="3">
        <f>D36*'Inputs'!$B$41+E36*'Inputs'!$B$42</f>
        <v>35000</v>
      </c>
      <c r="AN36" s="3">
        <f>0</f>
        <v>0</v>
      </c>
      <c r="AO36" s="3">
        <f>AF36+AG36+AH36+AI36+AJ36+AL36+AM36+AN36</f>
        <v>253833.33333333334</v>
      </c>
      <c r="AP36" s="3">
        <f>AE36-AO36</f>
        <v>867743.4895833331</v>
      </c>
      <c r="AQ36" s="3">
        <f>(D36+L36)*'Inputs'!$B$64/4</f>
        <v>2807343.75</v>
      </c>
      <c r="AR36" s="3">
        <f>(E36*'Inputs'!$B$25+R36*(1-'Inputs'!$B$25))*'Inputs'!$B$65</f>
        <v>110000.0</v>
      </c>
      <c r="AS36" s="3">
        <f>AQ36+AR36+U36</f>
        <v>3150890.625</v>
      </c>
      <c r="AT36" s="3">
        <f>IF(A36&gt;'Inputs'!$B$5,INDEX($AS$2:$AS$37,MAX(1,A36-'Inputs'!$B$5)),0)</f>
        <v>2429359.375</v>
      </c>
      <c r="AU36" s="3">
        <f>'Inputs'!$B$66*(O36*'Inputs'!$B$53+P36*(1-'Inputs'!$B$53)/3+Q36/4)</f>
        <v>666737.4999999999</v>
      </c>
      <c r="AV36" s="3">
        <f>(E36+E35)*('Inputs'!$B$19+'Inputs'!$B$20*'Inputs'!$B$21+'Inputs'!$B$22*'Inputs'!$B$11+'Inputs'!$B$23+'Inputs'!$B$24)/2</f>
        <v>94166.66666666667</v>
      </c>
      <c r="AW36" s="3">
        <f>AU36+X36+Z36+AV36+AC36+AO36</f>
        <v>1792938.8020833333</v>
      </c>
      <c r="AX36" s="3">
        <f>AT36-AW36</f>
        <v>636420.5729166667</v>
      </c>
      <c r="AY36" s="3">
        <f>AY35+AX36</f>
        <v>1577579.166666666</v>
      </c>
      <c r="AZ36" s="3">
        <f>AZ35+AS36-AT36</f>
        <v>5562890.625</v>
      </c>
      <c r="BA36" s="3">
        <f>BA35+AQ36+AR36-S36-T36</f>
        <v>3551718.75</v>
      </c>
      <c r="BB36" s="3">
        <f>BB35+AU36-W36</f>
        <v>1949108.333333333</v>
      </c>
      <c r="BC36" s="3">
        <f>BC35+AV36-AB36</f>
        <v>141250.0</v>
      </c>
      <c r="BD36" s="3">
        <f>J36*'Inputs'!$B$64</f>
        <v>28025625.0</v>
      </c>
      <c r="BE36" s="3">
        <f>(J36+K36)/'Inputs'!$B$9</f>
        <v>20.68375</v>
      </c>
      <c r="BF36" s="3">
        <f>J36*'Inputs'!$B$12</f>
        <v>7.4735000000000005</v>
      </c>
      <c r="BG36" s="3">
        <f>J36*'Inputs'!$B$14</f>
        <v>7.4735000000000005</v>
      </c>
      <c r="BH36" s="3">
        <f>J36*'Inputs'!$B$10/12+E36*'Inputs'!$B$22</f>
        <v>36.80625</v>
      </c>
      <c r="BI36" s="3">
        <f>'Inputs'!$B$6*'Inputs'!$B$7*(F36*('Inputs'!$B$49+'Inputs'!$B$47)+L36*('Inputs'!$B$49+'Inputs'!$B$48))+E36*'Inputs'!$B$46*'Inputs'!$B$18</f>
        <v>33867.2</v>
      </c>
    </row>
    <row r="37" spans="1:61">
      <c r="A37">
        <v>36</v>
      </c>
      <c r="B37" t="s">
        <v>211</v>
      </c>
      <c r="C37">
        <v>3</v>
      </c>
      <c r="D37" s="2">
        <v>3</v>
      </c>
      <c r="E37" s="2">
        <v>1</v>
      </c>
      <c r="F37" s="3">
        <f>IF(A37&gt;'Inputs'!$B$3,INDEX($D$2:$D$37,MAX(1,A37-'Inputs'!$B$3)),0)</f>
        <v>2</v>
      </c>
      <c r="G37" s="3">
        <f>F25+H25</f>
        <v>1.0</v>
      </c>
      <c r="H37" s="3">
        <f>G37*(1-'Inputs'!$B$68)</f>
        <v>0.85</v>
      </c>
      <c r="I37" s="3">
        <f>G37-H37</f>
        <v>0.15000000000000002</v>
      </c>
      <c r="J37" s="3">
        <f>J36+F37-I37</f>
        <v>39.2175</v>
      </c>
      <c r="K37" s="3">
        <f>SUM($D$2:D37)-SUM($F$2:F37)</f>
        <v>5</v>
      </c>
      <c r="L37" s="3">
        <f>F34+H34+F31+H31+F28+H28+H37</f>
        <v>10.1225</v>
      </c>
      <c r="M37" s="3">
        <f>F37+L37</f>
        <v>12.1225</v>
      </c>
      <c r="N37" s="3">
        <f>IF(A37+1&gt;'Inputs'!$B$3,INDEX($D$2:$D$37,MAX(1,A37+1-'Inputs'!$B$3)),0)+F35+H35+F32+H32+F29+H29+(F26+H26)*(1-'Inputs'!$B$68)</f>
        <v>12.844999999999999</v>
      </c>
      <c r="O37" s="3">
        <f>IF(A37+1&gt;'Inputs'!$B$3,INDEX($D$2:$D$37,MAX(1,A37+1-'Inputs'!$B$3)),0)</f>
        <v>2</v>
      </c>
      <c r="P37" s="3">
        <f>F35+F32+F29</f>
        <v>6</v>
      </c>
      <c r="Q37" s="3">
        <f>H35+H32+H29+(F26+H26)*(1-'Inputs'!$B$68)</f>
        <v>4.845</v>
      </c>
      <c r="R37" s="3">
        <f>IF(A37&gt;'Inputs'!$B$4,INDEX($E$2:$E$37,MAX(1,A37-'Inputs'!$B$4)),0)</f>
        <v>1</v>
      </c>
      <c r="S37" s="3">
        <f>J37*'Inputs'!$B$64/12</f>
        <v>2451093.75</v>
      </c>
      <c r="T37" s="3">
        <f>R37*'Inputs'!$B$65</f>
        <v>110000</v>
      </c>
      <c r="U37" s="3">
        <f>S37*IF(C37&gt;1,'Inputs'!$B$70,0)</f>
        <v>245109.375</v>
      </c>
      <c r="V37" s="3">
        <f>SUM(S37:U37)</f>
        <v>2806203.125</v>
      </c>
      <c r="W37" s="3">
        <f>J37*'Inputs'!$B$66/12</f>
        <v>718987.5</v>
      </c>
      <c r="X37" s="3">
        <f>J37*('Inputs'!$B$66*'Inputs'!$B$17+'Inputs'!$B$10*'Inputs'!$B$11+'Inputs'!$B$12*'Inputs'!$B$13+'Inputs'!$B$14*'Inputs'!$B$15+'Inputs'!$B$67+'Inputs'!$B$16)/12</f>
        <v>424856.25</v>
      </c>
      <c r="Y37" s="3">
        <f>MAX(Y36,ROUNDUP((J37+K37)/'Inputs'!$B$9,0))</f>
        <v>23</v>
      </c>
      <c r="Z37" s="3">
        <f>Y37*'Inputs'!$B$8/12</f>
        <v>345000.0</v>
      </c>
      <c r="AA37" s="3">
        <f>W37+X37+Z37</f>
        <v>1488843.75</v>
      </c>
      <c r="AB37" s="3">
        <f>R37*('Inputs'!$B$19+'Inputs'!$B$20*'Inputs'!$B$21+'Inputs'!$B$22*'Inputs'!$B$11+'Inputs'!$B$23+'Inputs'!$B$24)</f>
        <v>94166.66666666667</v>
      </c>
      <c r="AC37" s="3">
        <f>U37*'Inputs'!$B$26</f>
        <v>61277.34375</v>
      </c>
      <c r="AD37" s="3">
        <f>AA37+AB37+AC37</f>
        <v>1644287.7604166667</v>
      </c>
      <c r="AE37" s="3">
        <f>V37-AD37</f>
        <v>1161915.3645833333</v>
      </c>
      <c r="AF37" s="3">
        <f>'Inputs'!$B$29/12</f>
        <v>18000.0</v>
      </c>
      <c r="AG37" s="3">
        <f>'Inputs'!$B$73/12</f>
        <v>87500.0</v>
      </c>
      <c r="AH37" s="3">
        <f>'Inputs'!$B$32/12</f>
        <v>20000.0</v>
      </c>
      <c r="AI37" s="3">
        <f>'Inputs'!$B$35/12</f>
        <v>8333.333333333334</v>
      </c>
      <c r="AJ37" s="3">
        <f>'Inputs'!$B$38/12</f>
        <v>10000.0</v>
      </c>
      <c r="AK37" s="3">
        <f>MAX(1,ROUNDUP((SUM($D$26:$D$37)+0.5*SUM($E$26:$E$37))/'Inputs'!$B$40,0))</f>
        <v>5</v>
      </c>
      <c r="AL37" s="3">
        <f>AK37*'Inputs'!$B$39/12</f>
        <v>75000.0</v>
      </c>
      <c r="AM37" s="3">
        <f>D37*'Inputs'!$B$41+E37*'Inputs'!$B$42</f>
        <v>50000</v>
      </c>
      <c r="AN37" s="3">
        <f>0</f>
        <v>0</v>
      </c>
      <c r="AO37" s="3">
        <f>AF37+AG37+AH37+AI37+AJ37+AL37+AM37+AN37</f>
        <v>268833.3333333334</v>
      </c>
      <c r="AP37" s="3">
        <f>AE37-AO37</f>
        <v>893082.0312499999</v>
      </c>
      <c r="AQ37" s="3">
        <f>(D37+L37)*'Inputs'!$B$64/4</f>
        <v>2460468.75</v>
      </c>
      <c r="AR37" s="3">
        <f>(E37*'Inputs'!$B$25+R37*(1-'Inputs'!$B$25))*'Inputs'!$B$65</f>
        <v>110000.0</v>
      </c>
      <c r="AS37" s="3">
        <f>AQ37+AR37+U37</f>
        <v>2815578.125</v>
      </c>
      <c r="AT37" s="3">
        <f>IF(A37&gt;'Inputs'!$B$5,INDEX($AS$2:$AS$37,MAX(1,A37-'Inputs'!$B$5)),0)</f>
        <v>2412000.0</v>
      </c>
      <c r="AU37" s="3">
        <f>'Inputs'!$B$66*(O37*'Inputs'!$B$53+P37*(1-'Inputs'!$B$53)/3+Q37/4)</f>
        <v>706474.9999999999</v>
      </c>
      <c r="AV37" s="3">
        <f>(E37+E36)*('Inputs'!$B$19+'Inputs'!$B$20*'Inputs'!$B$21+'Inputs'!$B$22*'Inputs'!$B$11+'Inputs'!$B$23+'Inputs'!$B$24)/2</f>
        <v>94166.66666666667</v>
      </c>
      <c r="AW37" s="3">
        <f>AU37+X37+Z37+AV37+AC37+AO37</f>
        <v>1900608.59375</v>
      </c>
      <c r="AX37" s="3">
        <f>AT37-AW37</f>
        <v>511391.40625</v>
      </c>
      <c r="AY37" s="3">
        <f>AY36+AX37</f>
        <v>2088970.572916666</v>
      </c>
      <c r="AZ37" s="3">
        <f>AZ36+AS37-AT37</f>
        <v>5966468.75</v>
      </c>
      <c r="BA37" s="3">
        <f>BA36+AQ37+AR37-S37-T37</f>
        <v>3561093.75</v>
      </c>
      <c r="BB37" s="3">
        <f>BB36+AU37-W37</f>
        <v>1936595.833333333</v>
      </c>
      <c r="BC37" s="3">
        <f>BC36+AV37-AB37</f>
        <v>141250.0</v>
      </c>
      <c r="BD37" s="3">
        <f>J37*'Inputs'!$B$64</f>
        <v>29413125.0</v>
      </c>
      <c r="BE37" s="3">
        <f>(J37+K37)/'Inputs'!$B$9</f>
        <v>22.10875</v>
      </c>
      <c r="BF37" s="3">
        <f>J37*'Inputs'!$B$12</f>
        <v>7.843500000000001</v>
      </c>
      <c r="BG37" s="3">
        <f>J37*'Inputs'!$B$14</f>
        <v>7.843500000000001</v>
      </c>
      <c r="BH37" s="3">
        <f>J37*'Inputs'!$B$10/12+E37*'Inputs'!$B$22</f>
        <v>38.34791666666666</v>
      </c>
      <c r="BI37" s="3">
        <f>'Inputs'!$B$6*'Inputs'!$B$7*(F37*('Inputs'!$B$49+'Inputs'!$B$47)+L37*('Inputs'!$B$49+'Inputs'!$B$48))+E37*'Inputs'!$B$46*'Inputs'!$B$18</f>
        <v>25995.2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I37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/>
  <cols>
    <col min="1" max="61" width="20.7109375" customWidth="1"/>
  </cols>
  <sheetData>
    <row r="1" spans="1:61">
      <c r="A1" s="1" t="s">
        <v>133</v>
      </c>
      <c r="B1" s="1" t="s">
        <v>134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135</v>
      </c>
      <c r="H1" s="1" t="s">
        <v>136</v>
      </c>
      <c r="I1" s="1" t="s">
        <v>137</v>
      </c>
      <c r="J1" s="1" t="s">
        <v>138</v>
      </c>
      <c r="K1" s="1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P1" s="1" t="s">
        <v>144</v>
      </c>
      <c r="Q1" s="1" t="s">
        <v>145</v>
      </c>
      <c r="R1" s="1" t="s">
        <v>104</v>
      </c>
      <c r="S1" s="1" t="s">
        <v>105</v>
      </c>
      <c r="T1" s="1" t="s">
        <v>106</v>
      </c>
      <c r="U1" s="1" t="s">
        <v>107</v>
      </c>
      <c r="V1" s="1" t="s">
        <v>108</v>
      </c>
      <c r="W1" s="1" t="s">
        <v>146</v>
      </c>
      <c r="X1" s="1" t="s">
        <v>147</v>
      </c>
      <c r="Y1" s="1" t="s">
        <v>148</v>
      </c>
      <c r="Z1" s="1" t="s">
        <v>149</v>
      </c>
      <c r="AA1" s="1" t="s">
        <v>150</v>
      </c>
      <c r="AB1" s="1" t="s">
        <v>151</v>
      </c>
      <c r="AC1" s="1" t="s">
        <v>152</v>
      </c>
      <c r="AD1" s="1" t="s">
        <v>109</v>
      </c>
      <c r="AE1" s="1" t="s">
        <v>110</v>
      </c>
      <c r="AF1" s="1" t="s">
        <v>153</v>
      </c>
      <c r="AG1" s="1" t="s">
        <v>154</v>
      </c>
      <c r="AH1" s="1" t="s">
        <v>155</v>
      </c>
      <c r="AI1" s="1" t="s">
        <v>156</v>
      </c>
      <c r="AJ1" s="1" t="s">
        <v>157</v>
      </c>
      <c r="AK1" s="1" t="s">
        <v>158</v>
      </c>
      <c r="AL1" s="1" t="s">
        <v>159</v>
      </c>
      <c r="AM1" s="1" t="s">
        <v>160</v>
      </c>
      <c r="AN1" s="1" t="s">
        <v>161</v>
      </c>
      <c r="AO1" s="1" t="s">
        <v>111</v>
      </c>
      <c r="AP1" s="1" t="s">
        <v>112</v>
      </c>
      <c r="AQ1" s="1" t="s">
        <v>162</v>
      </c>
      <c r="AR1" s="1" t="s">
        <v>163</v>
      </c>
      <c r="AS1" s="1" t="s">
        <v>164</v>
      </c>
      <c r="AT1" s="1" t="s">
        <v>165</v>
      </c>
      <c r="AU1" s="1" t="s">
        <v>166</v>
      </c>
      <c r="AV1" s="1" t="s">
        <v>167</v>
      </c>
      <c r="AW1" s="1" t="s">
        <v>168</v>
      </c>
      <c r="AX1" s="1" t="s">
        <v>113</v>
      </c>
      <c r="AY1" s="1" t="s">
        <v>169</v>
      </c>
      <c r="AZ1" s="1" t="s">
        <v>120</v>
      </c>
      <c r="BA1" s="1" t="s">
        <v>121</v>
      </c>
      <c r="BB1" s="1" t="s">
        <v>170</v>
      </c>
      <c r="BC1" s="1" t="s">
        <v>171</v>
      </c>
      <c r="BD1" s="1" t="s">
        <v>118</v>
      </c>
      <c r="BE1" s="1" t="s">
        <v>172</v>
      </c>
      <c r="BF1" s="1" t="s">
        <v>173</v>
      </c>
      <c r="BG1" s="1" t="s">
        <v>174</v>
      </c>
      <c r="BH1" s="1" t="s">
        <v>175</v>
      </c>
      <c r="BI1" s="1" t="s">
        <v>114</v>
      </c>
    </row>
    <row r="2" spans="1:61">
      <c r="A2">
        <v>1</v>
      </c>
      <c r="B2" t="s">
        <v>176</v>
      </c>
      <c r="C2">
        <v>1</v>
      </c>
      <c r="D2" s="2">
        <v>1</v>
      </c>
      <c r="E2" s="2">
        <v>0</v>
      </c>
      <c r="F2" s="3">
        <f>IF(A2&gt;'Inputs'!$B$3,INDEX($D$2:$D$37,MAX(1,A2-'Inputs'!$B$3)),0)</f>
        <v>0</v>
      </c>
      <c r="G2" s="3">
        <f>0+0</f>
        <v>0</v>
      </c>
      <c r="H2" s="3">
        <f>G2*(1-'Inputs'!$B$78)</f>
        <v>0.0</v>
      </c>
      <c r="I2" s="3">
        <f>G2-H2</f>
        <v>0.0</v>
      </c>
      <c r="J2" s="3">
        <f>0+F2-I2</f>
        <v>0.0</v>
      </c>
      <c r="K2" s="3">
        <f>SUM($D$2:D2)-SUM($F$2:F2)</f>
        <v>1</v>
      </c>
      <c r="L2" s="3">
        <f>0+0+0+0+0+0+H2</f>
        <v>0.0</v>
      </c>
      <c r="M2" s="3">
        <f>F2+L2</f>
        <v>0.0</v>
      </c>
      <c r="N2" s="3">
        <f>IF(A2+1&gt;'Inputs'!$B$3,INDEX($D$2:$D$37,MAX(1,A2+1-'Inputs'!$B$3)),0)+0+0+0+0+0+0+(0+0)*(1-'Inputs'!$B$78)</f>
        <v>0.0</v>
      </c>
      <c r="O2" s="3">
        <f>IF(A2+1&gt;'Inputs'!$B$3,INDEX($D$2:$D$37,MAX(1,A2+1-'Inputs'!$B$3)),0)</f>
        <v>0</v>
      </c>
      <c r="P2" s="3">
        <f>0+0+0</f>
        <v>0</v>
      </c>
      <c r="Q2" s="3">
        <f>0+0+0+(0+0)*(1-'Inputs'!$B$78)</f>
        <v>0.0</v>
      </c>
      <c r="R2" s="3">
        <f>IF(A2&gt;'Inputs'!$B$4,INDEX($E$2:$E$37,MAX(1,A2-'Inputs'!$B$4)),0)</f>
        <v>0</v>
      </c>
      <c r="S2" s="3">
        <f>J2*'Inputs'!$B$74/12</f>
        <v>0.0</v>
      </c>
      <c r="T2" s="3">
        <f>R2*'Inputs'!$B$75</f>
        <v>0</v>
      </c>
      <c r="U2" s="3">
        <f>S2*IF(C2&gt;1,'Inputs'!$B$80,0)</f>
        <v>0.0</v>
      </c>
      <c r="V2" s="3">
        <f>SUM(S2:U2)</f>
        <v>0.0</v>
      </c>
      <c r="W2" s="3">
        <f>J2*'Inputs'!$B$76/12</f>
        <v>0.0</v>
      </c>
      <c r="X2" s="3">
        <f>J2*('Inputs'!$B$76*'Inputs'!$B$17+'Inputs'!$B$10*'Inputs'!$B$11+'Inputs'!$B$12*'Inputs'!$B$13+'Inputs'!$B$14*'Inputs'!$B$15+'Inputs'!$B$77+'Inputs'!$B$16)/12</f>
        <v>0.0</v>
      </c>
      <c r="Y2" s="3">
        <f>MAX(0,ROUNDUP((J2+K2)/'Inputs'!$B$9,0))</f>
        <v>1</v>
      </c>
      <c r="Z2" s="3">
        <f>Y2*'Inputs'!$B$8/12</f>
        <v>15000.0</v>
      </c>
      <c r="AA2" s="3">
        <f>W2+X2+Z2</f>
        <v>15000.0</v>
      </c>
      <c r="AB2" s="3">
        <f>R2*('Inputs'!$B$19+'Inputs'!$B$20*'Inputs'!$B$21+'Inputs'!$B$22*'Inputs'!$B$11+'Inputs'!$B$23+'Inputs'!$B$24)</f>
        <v>0.0</v>
      </c>
      <c r="AC2" s="3">
        <f>U2*'Inputs'!$B$26</f>
        <v>0.0</v>
      </c>
      <c r="AD2" s="3">
        <f>AA2+AB2+AC2</f>
        <v>15000.0</v>
      </c>
      <c r="AE2" s="3">
        <f>V2-AD2</f>
        <v>-15000.0</v>
      </c>
      <c r="AF2" s="3">
        <f>'Inputs'!$B$27/12</f>
        <v>15000.0</v>
      </c>
      <c r="AG2" s="3">
        <f>'Inputs'!$B$81/12</f>
        <v>75000.0</v>
      </c>
      <c r="AH2" s="3">
        <f>'Inputs'!$B$30/12</f>
        <v>10000.0</v>
      </c>
      <c r="AI2" s="3">
        <f>'Inputs'!$B$33/12</f>
        <v>5000.0</v>
      </c>
      <c r="AJ2" s="3">
        <f>'Inputs'!$B$36/12</f>
        <v>5000.0</v>
      </c>
      <c r="AK2" s="3">
        <f>MAX(1,ROUNDUP((SUM($D$2:$D$13)+0.5*SUM($E$2:$E$13))/'Inputs'!$B$40,0))</f>
        <v>2</v>
      </c>
      <c r="AL2" s="3">
        <f>AK2*'Inputs'!$B$39/12</f>
        <v>30000.0</v>
      </c>
      <c r="AM2" s="3">
        <f>D2*'Inputs'!$B$41+E2*'Inputs'!$B$42</f>
        <v>15000</v>
      </c>
      <c r="AN2" s="3">
        <f>'Inputs'!$B$43</f>
        <v>140000</v>
      </c>
      <c r="AO2" s="3">
        <f>AF2+AG2+AH2+AI2+AJ2+AL2+AM2+AN2</f>
        <v>295000.0</v>
      </c>
      <c r="AP2" s="3">
        <f>AE2-AO2</f>
        <v>-310000.0</v>
      </c>
      <c r="AQ2" s="3">
        <f>(D2+L2)*'Inputs'!$B$74/4</f>
        <v>250000.0</v>
      </c>
      <c r="AR2" s="3">
        <f>(E2*'Inputs'!$B$25+R2*(1-'Inputs'!$B$25))*'Inputs'!$B$75</f>
        <v>0.0</v>
      </c>
      <c r="AS2" s="3">
        <f>AQ2+AR2+U2</f>
        <v>250000.0</v>
      </c>
      <c r="AT2" s="3">
        <f>IF(A2&gt;'Inputs'!$B$5,INDEX($AS$2:$AS$37,MAX(1,A2-'Inputs'!$B$5)),0)</f>
        <v>0</v>
      </c>
      <c r="AU2" s="3">
        <f>'Inputs'!$B$76*(O2*'Inputs'!$B$53+P2*(1-'Inputs'!$B$53)/3+Q2/4)</f>
        <v>0.0</v>
      </c>
      <c r="AV2" s="3">
        <f>(E2+0)*('Inputs'!$B$19+'Inputs'!$B$20*'Inputs'!$B$21+'Inputs'!$B$22*'Inputs'!$B$11+'Inputs'!$B$23+'Inputs'!$B$24)/2</f>
        <v>0.0</v>
      </c>
      <c r="AW2" s="3">
        <f>AU2+X2+Z2+AV2+AC2+AO2</f>
        <v>310000.0</v>
      </c>
      <c r="AX2" s="3">
        <f>AT2-AW2</f>
        <v>-310000.0</v>
      </c>
      <c r="AY2" s="3">
        <f>0+AX2</f>
        <v>-310000.0</v>
      </c>
      <c r="AZ2" s="3">
        <f>0+AS2-AT2</f>
        <v>250000.0</v>
      </c>
      <c r="BA2" s="3">
        <f>0+AQ2+AR2-S2-T2</f>
        <v>250000.0</v>
      </c>
      <c r="BB2" s="3">
        <f>0+AU2-W2</f>
        <v>0.0</v>
      </c>
      <c r="BC2" s="3">
        <f>0+AV2-AB2</f>
        <v>0.0</v>
      </c>
      <c r="BD2" s="3">
        <f>J2*'Inputs'!$B$74</f>
        <v>0.0</v>
      </c>
      <c r="BE2" s="3">
        <f>(J2+K2)/'Inputs'!$B$9</f>
        <v>0.5</v>
      </c>
      <c r="BF2" s="3">
        <f>J2*'Inputs'!$B$12</f>
        <v>0.0</v>
      </c>
      <c r="BG2" s="3">
        <f>J2*'Inputs'!$B$14</f>
        <v>0.0</v>
      </c>
      <c r="BH2" s="3">
        <f>J2*'Inputs'!$B$10/12+E2*'Inputs'!$B$22</f>
        <v>0.0</v>
      </c>
      <c r="BI2" s="3">
        <f>'Inputs'!$B$6*'Inputs'!$B$7*(F2*('Inputs'!$B$49+'Inputs'!$B$47)+L2*('Inputs'!$B$49+'Inputs'!$B$48))+E2*'Inputs'!$B$46*'Inputs'!$B$18</f>
        <v>0.0</v>
      </c>
    </row>
    <row r="3" spans="1:61">
      <c r="A3">
        <v>2</v>
      </c>
      <c r="B3" t="s">
        <v>177</v>
      </c>
      <c r="C3">
        <v>1</v>
      </c>
      <c r="D3" s="2">
        <v>0</v>
      </c>
      <c r="E3" s="2">
        <v>0</v>
      </c>
      <c r="F3" s="3">
        <f>IF(A3&gt;'Inputs'!$B$3,INDEX($D$2:$D$37,MAX(1,A3-'Inputs'!$B$3)),0)</f>
        <v>0</v>
      </c>
      <c r="G3" s="3">
        <f>0+0</f>
        <v>0</v>
      </c>
      <c r="H3" s="3">
        <f>G3*(1-'Inputs'!$B$78)</f>
        <v>0.0</v>
      </c>
      <c r="I3" s="3">
        <f>G3-H3</f>
        <v>0.0</v>
      </c>
      <c r="J3" s="3">
        <f>J2+F3-I3</f>
        <v>0.0</v>
      </c>
      <c r="K3" s="3">
        <f>SUM($D$2:D3)-SUM($F$2:F3)</f>
        <v>1</v>
      </c>
      <c r="L3" s="3">
        <f>0+0+0+0+0+0+H3</f>
        <v>0.0</v>
      </c>
      <c r="M3" s="3">
        <f>F3+L3</f>
        <v>0.0</v>
      </c>
      <c r="N3" s="3">
        <f>IF(A3+1&gt;'Inputs'!$B$3,INDEX($D$2:$D$37,MAX(1,A3+1-'Inputs'!$B$3)),0)+0+0+0+0+0+0+(0+0)*(1-'Inputs'!$B$78)</f>
        <v>1.0</v>
      </c>
      <c r="O3" s="3">
        <f>IF(A3+1&gt;'Inputs'!$B$3,INDEX($D$2:$D$37,MAX(1,A3+1-'Inputs'!$B$3)),0)</f>
        <v>1</v>
      </c>
      <c r="P3" s="3">
        <f>0+0+0</f>
        <v>0</v>
      </c>
      <c r="Q3" s="3">
        <f>0+0+0+(0+0)*(1-'Inputs'!$B$78)</f>
        <v>0.0</v>
      </c>
      <c r="R3" s="3">
        <f>IF(A3&gt;'Inputs'!$B$4,INDEX($E$2:$E$37,MAX(1,A3-'Inputs'!$B$4)),0)</f>
        <v>0</v>
      </c>
      <c r="S3" s="3">
        <f>J3*'Inputs'!$B$74/12</f>
        <v>0.0</v>
      </c>
      <c r="T3" s="3">
        <f>R3*'Inputs'!$B$75</f>
        <v>0</v>
      </c>
      <c r="U3" s="3">
        <f>S3*IF(C3&gt;1,'Inputs'!$B$80,0)</f>
        <v>0.0</v>
      </c>
      <c r="V3" s="3">
        <f>SUM(S3:U3)</f>
        <v>0.0</v>
      </c>
      <c r="W3" s="3">
        <f>J3*'Inputs'!$B$76/12</f>
        <v>0.0</v>
      </c>
      <c r="X3" s="3">
        <f>J3*('Inputs'!$B$76*'Inputs'!$B$17+'Inputs'!$B$10*'Inputs'!$B$11+'Inputs'!$B$12*'Inputs'!$B$13+'Inputs'!$B$14*'Inputs'!$B$15+'Inputs'!$B$77+'Inputs'!$B$16)/12</f>
        <v>0.0</v>
      </c>
      <c r="Y3" s="3">
        <f>MAX(Y2,ROUNDUP((J3+K3)/'Inputs'!$B$9,0))</f>
        <v>1</v>
      </c>
      <c r="Z3" s="3">
        <f>Y3*'Inputs'!$B$8/12</f>
        <v>15000.0</v>
      </c>
      <c r="AA3" s="3">
        <f>W3+X3+Z3</f>
        <v>15000.0</v>
      </c>
      <c r="AB3" s="3">
        <f>R3*('Inputs'!$B$19+'Inputs'!$B$20*'Inputs'!$B$21+'Inputs'!$B$22*'Inputs'!$B$11+'Inputs'!$B$23+'Inputs'!$B$24)</f>
        <v>0.0</v>
      </c>
      <c r="AC3" s="3">
        <f>U3*'Inputs'!$B$26</f>
        <v>0.0</v>
      </c>
      <c r="AD3" s="3">
        <f>AA3+AB3+AC3</f>
        <v>15000.0</v>
      </c>
      <c r="AE3" s="3">
        <f>V3-AD3</f>
        <v>-15000.0</v>
      </c>
      <c r="AF3" s="3">
        <f>'Inputs'!$B$27/12</f>
        <v>15000.0</v>
      </c>
      <c r="AG3" s="3">
        <f>'Inputs'!$B$81/12</f>
        <v>75000.0</v>
      </c>
      <c r="AH3" s="3">
        <f>'Inputs'!$B$30/12</f>
        <v>10000.0</v>
      </c>
      <c r="AI3" s="3">
        <f>'Inputs'!$B$33/12</f>
        <v>5000.0</v>
      </c>
      <c r="AJ3" s="3">
        <f>'Inputs'!$B$36/12</f>
        <v>5000.0</v>
      </c>
      <c r="AK3" s="3">
        <f>MAX(1,ROUNDUP((SUM($D$2:$D$13)+0.5*SUM($E$2:$E$13))/'Inputs'!$B$40,0))</f>
        <v>2</v>
      </c>
      <c r="AL3" s="3">
        <f>AK3*'Inputs'!$B$39/12</f>
        <v>30000.0</v>
      </c>
      <c r="AM3" s="3">
        <f>D3*'Inputs'!$B$41+E3*'Inputs'!$B$42</f>
        <v>0</v>
      </c>
      <c r="AN3" s="3">
        <f>0</f>
        <v>0</v>
      </c>
      <c r="AO3" s="3">
        <f>AF3+AG3+AH3+AI3+AJ3+AL3+AM3+AN3</f>
        <v>140000.0</v>
      </c>
      <c r="AP3" s="3">
        <f>AE3-AO3</f>
        <v>-155000.0</v>
      </c>
      <c r="AQ3" s="3">
        <f>(D3+L3)*'Inputs'!$B$74/4</f>
        <v>0.0</v>
      </c>
      <c r="AR3" s="3">
        <f>(E3*'Inputs'!$B$25+R3*(1-'Inputs'!$B$25))*'Inputs'!$B$75</f>
        <v>0.0</v>
      </c>
      <c r="AS3" s="3">
        <f>AQ3+AR3+U3</f>
        <v>0.0</v>
      </c>
      <c r="AT3" s="3">
        <f>IF(A3&gt;'Inputs'!$B$5,INDEX($AS$2:$AS$37,MAX(1,A3-'Inputs'!$B$5)),0)</f>
        <v>0</v>
      </c>
      <c r="AU3" s="3">
        <f>'Inputs'!$B$76*(O3*'Inputs'!$B$53+P3*(1-'Inputs'!$B$53)/3+Q3/4)</f>
        <v>73800.0</v>
      </c>
      <c r="AV3" s="3">
        <f>(E3+E2)*('Inputs'!$B$19+'Inputs'!$B$20*'Inputs'!$B$21+'Inputs'!$B$22*'Inputs'!$B$11+'Inputs'!$B$23+'Inputs'!$B$24)/2</f>
        <v>0.0</v>
      </c>
      <c r="AW3" s="3">
        <f>AU3+X3+Z3+AV3+AC3+AO3</f>
        <v>228800.0</v>
      </c>
      <c r="AX3" s="3">
        <f>AT3-AW3</f>
        <v>-228800.0</v>
      </c>
      <c r="AY3" s="3">
        <f>AY2+AX3</f>
        <v>-538800.0</v>
      </c>
      <c r="AZ3" s="3">
        <f>AZ2+AS3-AT3</f>
        <v>250000.0</v>
      </c>
      <c r="BA3" s="3">
        <f>BA2+AQ3+AR3-S3-T3</f>
        <v>250000.0</v>
      </c>
      <c r="BB3" s="3">
        <f>BB2+AU3-W3</f>
        <v>73800.0</v>
      </c>
      <c r="BC3" s="3">
        <f>BC2+AV3-AB3</f>
        <v>0.0</v>
      </c>
      <c r="BD3" s="3">
        <f>J3*'Inputs'!$B$74</f>
        <v>0.0</v>
      </c>
      <c r="BE3" s="3">
        <f>(J3+K3)/'Inputs'!$B$9</f>
        <v>0.5</v>
      </c>
      <c r="BF3" s="3">
        <f>J3*'Inputs'!$B$12</f>
        <v>0.0</v>
      </c>
      <c r="BG3" s="3">
        <f>J3*'Inputs'!$B$14</f>
        <v>0.0</v>
      </c>
      <c r="BH3" s="3">
        <f>J3*'Inputs'!$B$10/12+E3*'Inputs'!$B$22</f>
        <v>0.0</v>
      </c>
      <c r="BI3" s="3">
        <f>'Inputs'!$B$6*'Inputs'!$B$7*(F3*('Inputs'!$B$49+'Inputs'!$B$47)+L3*('Inputs'!$B$49+'Inputs'!$B$48))+E3*'Inputs'!$B$46*'Inputs'!$B$18</f>
        <v>0.0</v>
      </c>
    </row>
    <row r="4" spans="1:61">
      <c r="A4">
        <v>3</v>
      </c>
      <c r="B4" t="s">
        <v>178</v>
      </c>
      <c r="C4">
        <v>1</v>
      </c>
      <c r="D4" s="2">
        <v>0</v>
      </c>
      <c r="E4" s="2">
        <v>1</v>
      </c>
      <c r="F4" s="3">
        <f>IF(A4&gt;'Inputs'!$B$3,INDEX($D$2:$D$37,MAX(1,A4-'Inputs'!$B$3)),0)</f>
        <v>1</v>
      </c>
      <c r="G4" s="3">
        <f>0+0</f>
        <v>0</v>
      </c>
      <c r="H4" s="3">
        <f>G4*(1-'Inputs'!$B$78)</f>
        <v>0.0</v>
      </c>
      <c r="I4" s="3">
        <f>G4-H4</f>
        <v>0.0</v>
      </c>
      <c r="J4" s="3">
        <f>J3+F4-I4</f>
        <v>1.0</v>
      </c>
      <c r="K4" s="3">
        <f>SUM($D$2:D4)-SUM($F$2:F4)</f>
        <v>0</v>
      </c>
      <c r="L4" s="3">
        <f>0+0+0+0+0+0+H4</f>
        <v>0.0</v>
      </c>
      <c r="M4" s="3">
        <f>F4+L4</f>
        <v>1.0</v>
      </c>
      <c r="N4" s="3">
        <f>IF(A4+1&gt;'Inputs'!$B$3,INDEX($D$2:$D$37,MAX(1,A4+1-'Inputs'!$B$3)),0)+F2+H2+0+0+0+0+(0+0)*(1-'Inputs'!$B$78)</f>
        <v>0.0</v>
      </c>
      <c r="O4" s="3">
        <f>IF(A4+1&gt;'Inputs'!$B$3,INDEX($D$2:$D$37,MAX(1,A4+1-'Inputs'!$B$3)),0)</f>
        <v>0</v>
      </c>
      <c r="P4" s="3">
        <f>F2+0+0</f>
        <v>0</v>
      </c>
      <c r="Q4" s="3">
        <f>H2+0+0+(0+0)*(1-'Inputs'!$B$78)</f>
        <v>0.0</v>
      </c>
      <c r="R4" s="3">
        <f>IF(A4&gt;'Inputs'!$B$4,INDEX($E$2:$E$37,MAX(1,A4-'Inputs'!$B$4)),0)</f>
        <v>0</v>
      </c>
      <c r="S4" s="3">
        <f>J4*'Inputs'!$B$74/12</f>
        <v>83333.33333333333</v>
      </c>
      <c r="T4" s="3">
        <f>R4*'Inputs'!$B$75</f>
        <v>0</v>
      </c>
      <c r="U4" s="3">
        <f>S4*IF(C4&gt;1,'Inputs'!$B$80,0)</f>
        <v>0.0</v>
      </c>
      <c r="V4" s="3">
        <f>SUM(S4:U4)</f>
        <v>83333.33333333333</v>
      </c>
      <c r="W4" s="3">
        <f>J4*'Inputs'!$B$76/12</f>
        <v>15000.0</v>
      </c>
      <c r="X4" s="3">
        <f>J4*('Inputs'!$B$76*'Inputs'!$B$17+'Inputs'!$B$10*'Inputs'!$B$11+'Inputs'!$B$12*'Inputs'!$B$13+'Inputs'!$B$14*'Inputs'!$B$15+'Inputs'!$B$77+'Inputs'!$B$16)/12</f>
        <v>10083.333333333334</v>
      </c>
      <c r="Y4" s="3">
        <f>MAX(Y3,ROUNDUP((J4+K4)/'Inputs'!$B$9,0))</f>
        <v>1</v>
      </c>
      <c r="Z4" s="3">
        <f>Y4*'Inputs'!$B$8/12</f>
        <v>15000.0</v>
      </c>
      <c r="AA4" s="3">
        <f>W4+X4+Z4</f>
        <v>40083.333333333336</v>
      </c>
      <c r="AB4" s="3">
        <f>R4*('Inputs'!$B$19+'Inputs'!$B$20*'Inputs'!$B$21+'Inputs'!$B$22*'Inputs'!$B$11+'Inputs'!$B$23+'Inputs'!$B$24)</f>
        <v>0.0</v>
      </c>
      <c r="AC4" s="3">
        <f>U4*'Inputs'!$B$26</f>
        <v>0.0</v>
      </c>
      <c r="AD4" s="3">
        <f>AA4+AB4+AC4</f>
        <v>40083.333333333336</v>
      </c>
      <c r="AE4" s="3">
        <f>V4-AD4</f>
        <v>43249.99999999999</v>
      </c>
      <c r="AF4" s="3">
        <f>'Inputs'!$B$27/12</f>
        <v>15000.0</v>
      </c>
      <c r="AG4" s="3">
        <f>'Inputs'!$B$81/12</f>
        <v>75000.0</v>
      </c>
      <c r="AH4" s="3">
        <f>'Inputs'!$B$30/12</f>
        <v>10000.0</v>
      </c>
      <c r="AI4" s="3">
        <f>'Inputs'!$B$33/12</f>
        <v>5000.0</v>
      </c>
      <c r="AJ4" s="3">
        <f>'Inputs'!$B$36/12</f>
        <v>5000.0</v>
      </c>
      <c r="AK4" s="3">
        <f>MAX(1,ROUNDUP((SUM($D$2:$D$13)+0.5*SUM($E$2:$E$13))/'Inputs'!$B$40,0))</f>
        <v>2</v>
      </c>
      <c r="AL4" s="3">
        <f>AK4*'Inputs'!$B$39/12</f>
        <v>30000.0</v>
      </c>
      <c r="AM4" s="3">
        <f>D4*'Inputs'!$B$41+E4*'Inputs'!$B$42</f>
        <v>5000</v>
      </c>
      <c r="AN4" s="3">
        <f>0</f>
        <v>0</v>
      </c>
      <c r="AO4" s="3">
        <f>AF4+AG4+AH4+AI4+AJ4+AL4+AM4+AN4</f>
        <v>145000.0</v>
      </c>
      <c r="AP4" s="3">
        <f>AE4-AO4</f>
        <v>-101750.0</v>
      </c>
      <c r="AQ4" s="3">
        <f>(D4+L4)*'Inputs'!$B$74/4</f>
        <v>0.0</v>
      </c>
      <c r="AR4" s="3">
        <f>(E4*'Inputs'!$B$25+R4*(1-'Inputs'!$B$25))*'Inputs'!$B$75</f>
        <v>55000.0</v>
      </c>
      <c r="AS4" s="3">
        <f>AQ4+AR4+U4</f>
        <v>55000.0</v>
      </c>
      <c r="AT4" s="3">
        <f>IF(A4&gt;'Inputs'!$B$5,INDEX($AS$2:$AS$37,MAX(1,A4-'Inputs'!$B$5)),0)</f>
        <v>250000.0</v>
      </c>
      <c r="AU4" s="3">
        <f>'Inputs'!$B$76*(O4*'Inputs'!$B$53+P4*(1-'Inputs'!$B$53)/3+Q4/4)</f>
        <v>0.0</v>
      </c>
      <c r="AV4" s="3">
        <f>(E4+E3)*('Inputs'!$B$19+'Inputs'!$B$20*'Inputs'!$B$21+'Inputs'!$B$22*'Inputs'!$B$11+'Inputs'!$B$23+'Inputs'!$B$24)/2</f>
        <v>47083.333333333336</v>
      </c>
      <c r="AW4" s="3">
        <f>AU4+X4+Z4+AV4+AC4+AO4</f>
        <v>217166.6666666667</v>
      </c>
      <c r="AX4" s="3">
        <f>AT4-AW4</f>
        <v>32833.333333333314</v>
      </c>
      <c r="AY4" s="3">
        <f>AY3+AX4</f>
        <v>-505966.6666666667</v>
      </c>
      <c r="AZ4" s="3">
        <f>AZ3+AS4-AT4</f>
        <v>55000.0</v>
      </c>
      <c r="BA4" s="3">
        <f>BA3+AQ4+AR4-S4-T4</f>
        <v>221666.6666666667</v>
      </c>
      <c r="BB4" s="3">
        <f>BB3+AU4-W4</f>
        <v>58800.0</v>
      </c>
      <c r="BC4" s="3">
        <f>BC3+AV4-AB4</f>
        <v>47083.333333333336</v>
      </c>
      <c r="BD4" s="3">
        <f>J4*'Inputs'!$B$74</f>
        <v>1000000.0</v>
      </c>
      <c r="BE4" s="3">
        <f>(J4+K4)/'Inputs'!$B$9</f>
        <v>0.5</v>
      </c>
      <c r="BF4" s="3">
        <f>J4*'Inputs'!$B$12</f>
        <v>0.2</v>
      </c>
      <c r="BG4" s="3">
        <f>J4*'Inputs'!$B$14</f>
        <v>0.2</v>
      </c>
      <c r="BH4" s="3">
        <f>J4*'Inputs'!$B$10/12+E4*'Inputs'!$B$22</f>
        <v>6.499999999999999</v>
      </c>
      <c r="BI4" s="3">
        <f>'Inputs'!$B$6*'Inputs'!$B$7*(F4*('Inputs'!$B$49+'Inputs'!$B$47)+L4*('Inputs'!$B$49+'Inputs'!$B$48))+E4*'Inputs'!$B$46*'Inputs'!$B$18</f>
        <v>4160.0</v>
      </c>
    </row>
    <row r="5" spans="1:61">
      <c r="A5">
        <v>4</v>
      </c>
      <c r="B5" t="s">
        <v>179</v>
      </c>
      <c r="C5">
        <v>1</v>
      </c>
      <c r="D5" s="2">
        <v>0</v>
      </c>
      <c r="E5" s="2">
        <v>1</v>
      </c>
      <c r="F5" s="3">
        <f>IF(A5&gt;'Inputs'!$B$3,INDEX($D$2:$D$37,MAX(1,A5-'Inputs'!$B$3)),0)</f>
        <v>0</v>
      </c>
      <c r="G5" s="3">
        <f>0+0</f>
        <v>0</v>
      </c>
      <c r="H5" s="3">
        <f>G5*(1-'Inputs'!$B$78)</f>
        <v>0.0</v>
      </c>
      <c r="I5" s="3">
        <f>G5-H5</f>
        <v>0.0</v>
      </c>
      <c r="J5" s="3">
        <f>J4+F5-I5</f>
        <v>1.0</v>
      </c>
      <c r="K5" s="3">
        <f>SUM($D$2:D5)-SUM($F$2:F5)</f>
        <v>0</v>
      </c>
      <c r="L5" s="3">
        <f>F2+H2+0+0+0+0+H5</f>
        <v>0.0</v>
      </c>
      <c r="M5" s="3">
        <f>F5+L5</f>
        <v>0.0</v>
      </c>
      <c r="N5" s="3">
        <f>IF(A5+1&gt;'Inputs'!$B$3,INDEX($D$2:$D$37,MAX(1,A5+1-'Inputs'!$B$3)),0)+F3+H3+0+0+0+0+(0+0)*(1-'Inputs'!$B$78)</f>
        <v>0.0</v>
      </c>
      <c r="O5" s="3">
        <f>IF(A5+1&gt;'Inputs'!$B$3,INDEX($D$2:$D$37,MAX(1,A5+1-'Inputs'!$B$3)),0)</f>
        <v>0</v>
      </c>
      <c r="P5" s="3">
        <f>F3+0+0</f>
        <v>0</v>
      </c>
      <c r="Q5" s="3">
        <f>H3+0+0+(0+0)*(1-'Inputs'!$B$78)</f>
        <v>0.0</v>
      </c>
      <c r="R5" s="3">
        <f>IF(A5&gt;'Inputs'!$B$4,INDEX($E$2:$E$37,MAX(1,A5-'Inputs'!$B$4)),0)</f>
        <v>0</v>
      </c>
      <c r="S5" s="3">
        <f>J5*'Inputs'!$B$74/12</f>
        <v>83333.33333333333</v>
      </c>
      <c r="T5" s="3">
        <f>R5*'Inputs'!$B$75</f>
        <v>0</v>
      </c>
      <c r="U5" s="3">
        <f>S5*IF(C5&gt;1,'Inputs'!$B$80,0)</f>
        <v>0.0</v>
      </c>
      <c r="V5" s="3">
        <f>SUM(S5:U5)</f>
        <v>83333.33333333333</v>
      </c>
      <c r="W5" s="3">
        <f>J5*'Inputs'!$B$76/12</f>
        <v>15000.0</v>
      </c>
      <c r="X5" s="3">
        <f>J5*('Inputs'!$B$76*'Inputs'!$B$17+'Inputs'!$B$10*'Inputs'!$B$11+'Inputs'!$B$12*'Inputs'!$B$13+'Inputs'!$B$14*'Inputs'!$B$15+'Inputs'!$B$77+'Inputs'!$B$16)/12</f>
        <v>10083.333333333334</v>
      </c>
      <c r="Y5" s="3">
        <f>MAX(Y4,ROUNDUP((J5+K5)/'Inputs'!$B$9,0))</f>
        <v>1</v>
      </c>
      <c r="Z5" s="3">
        <f>Y5*'Inputs'!$B$8/12</f>
        <v>15000.0</v>
      </c>
      <c r="AA5" s="3">
        <f>W5+X5+Z5</f>
        <v>40083.333333333336</v>
      </c>
      <c r="AB5" s="3">
        <f>R5*('Inputs'!$B$19+'Inputs'!$B$20*'Inputs'!$B$21+'Inputs'!$B$22*'Inputs'!$B$11+'Inputs'!$B$23+'Inputs'!$B$24)</f>
        <v>0.0</v>
      </c>
      <c r="AC5" s="3">
        <f>U5*'Inputs'!$B$26</f>
        <v>0.0</v>
      </c>
      <c r="AD5" s="3">
        <f>AA5+AB5+AC5</f>
        <v>40083.333333333336</v>
      </c>
      <c r="AE5" s="3">
        <f>V5-AD5</f>
        <v>43249.99999999999</v>
      </c>
      <c r="AF5" s="3">
        <f>'Inputs'!$B$27/12</f>
        <v>15000.0</v>
      </c>
      <c r="AG5" s="3">
        <f>'Inputs'!$B$81/12</f>
        <v>75000.0</v>
      </c>
      <c r="AH5" s="3">
        <f>'Inputs'!$B$30/12</f>
        <v>10000.0</v>
      </c>
      <c r="AI5" s="3">
        <f>'Inputs'!$B$33/12</f>
        <v>5000.0</v>
      </c>
      <c r="AJ5" s="3">
        <f>'Inputs'!$B$36/12</f>
        <v>5000.0</v>
      </c>
      <c r="AK5" s="3">
        <f>MAX(1,ROUNDUP((SUM($D$2:$D$13)+0.5*SUM($E$2:$E$13))/'Inputs'!$B$40,0))</f>
        <v>2</v>
      </c>
      <c r="AL5" s="3">
        <f>AK5*'Inputs'!$B$39/12</f>
        <v>30000.0</v>
      </c>
      <c r="AM5" s="3">
        <f>D5*'Inputs'!$B$41+E5*'Inputs'!$B$42</f>
        <v>5000</v>
      </c>
      <c r="AN5" s="3">
        <f>0</f>
        <v>0</v>
      </c>
      <c r="AO5" s="3">
        <f>AF5+AG5+AH5+AI5+AJ5+AL5+AM5+AN5</f>
        <v>145000.0</v>
      </c>
      <c r="AP5" s="3">
        <f>AE5-AO5</f>
        <v>-101750.0</v>
      </c>
      <c r="AQ5" s="3">
        <f>(D5+L5)*'Inputs'!$B$74/4</f>
        <v>0.0</v>
      </c>
      <c r="AR5" s="3">
        <f>(E5*'Inputs'!$B$25+R5*(1-'Inputs'!$B$25))*'Inputs'!$B$75</f>
        <v>55000.0</v>
      </c>
      <c r="AS5" s="3">
        <f>AQ5+AR5+U5</f>
        <v>55000.0</v>
      </c>
      <c r="AT5" s="3">
        <f>IF(A5&gt;'Inputs'!$B$5,INDEX($AS$2:$AS$37,MAX(1,A5-'Inputs'!$B$5)),0)</f>
        <v>0.0</v>
      </c>
      <c r="AU5" s="3">
        <f>'Inputs'!$B$76*(O5*'Inputs'!$B$53+P5*(1-'Inputs'!$B$53)/3+Q5/4)</f>
        <v>0.0</v>
      </c>
      <c r="AV5" s="3">
        <f>(E5+E4)*('Inputs'!$B$19+'Inputs'!$B$20*'Inputs'!$B$21+'Inputs'!$B$22*'Inputs'!$B$11+'Inputs'!$B$23+'Inputs'!$B$24)/2</f>
        <v>94166.66666666667</v>
      </c>
      <c r="AW5" s="3">
        <f>AU5+X5+Z5+AV5+AC5+AO5</f>
        <v>264250.0</v>
      </c>
      <c r="AX5" s="3">
        <f>AT5-AW5</f>
        <v>-264250.0</v>
      </c>
      <c r="AY5" s="3">
        <f>AY4+AX5</f>
        <v>-770216.6666666667</v>
      </c>
      <c r="AZ5" s="3">
        <f>AZ4+AS5-AT5</f>
        <v>110000.0</v>
      </c>
      <c r="BA5" s="3">
        <f>BA4+AQ5+AR5-S5-T5</f>
        <v>193333.33333333337</v>
      </c>
      <c r="BB5" s="3">
        <f>BB4+AU5-W5</f>
        <v>43800.0</v>
      </c>
      <c r="BC5" s="3">
        <f>BC4+AV5-AB5</f>
        <v>141250.0</v>
      </c>
      <c r="BD5" s="3">
        <f>J5*'Inputs'!$B$74</f>
        <v>1000000.0</v>
      </c>
      <c r="BE5" s="3">
        <f>(J5+K5)/'Inputs'!$B$9</f>
        <v>0.5</v>
      </c>
      <c r="BF5" s="3">
        <f>J5*'Inputs'!$B$12</f>
        <v>0.2</v>
      </c>
      <c r="BG5" s="3">
        <f>J5*'Inputs'!$B$14</f>
        <v>0.2</v>
      </c>
      <c r="BH5" s="3">
        <f>J5*'Inputs'!$B$10/12+E5*'Inputs'!$B$22</f>
        <v>6.499999999999999</v>
      </c>
      <c r="BI5" s="3">
        <f>'Inputs'!$B$6*'Inputs'!$B$7*(F5*('Inputs'!$B$49+'Inputs'!$B$47)+L5*('Inputs'!$B$49+'Inputs'!$B$48))+E5*'Inputs'!$B$46*'Inputs'!$B$18</f>
        <v>1760.0</v>
      </c>
    </row>
    <row r="6" spans="1:61">
      <c r="A6">
        <v>5</v>
      </c>
      <c r="B6" t="s">
        <v>180</v>
      </c>
      <c r="C6">
        <v>1</v>
      </c>
      <c r="D6" s="2">
        <v>0</v>
      </c>
      <c r="E6" s="2">
        <v>0</v>
      </c>
      <c r="F6" s="3">
        <f>IF(A6&gt;'Inputs'!$B$3,INDEX($D$2:$D$37,MAX(1,A6-'Inputs'!$B$3)),0)</f>
        <v>0</v>
      </c>
      <c r="G6" s="3">
        <f>0+0</f>
        <v>0</v>
      </c>
      <c r="H6" s="3">
        <f>G6*(1-'Inputs'!$B$78)</f>
        <v>0.0</v>
      </c>
      <c r="I6" s="3">
        <f>G6-H6</f>
        <v>0.0</v>
      </c>
      <c r="J6" s="3">
        <f>J5+F6-I6</f>
        <v>1.0</v>
      </c>
      <c r="K6" s="3">
        <f>SUM($D$2:D6)-SUM($F$2:F6)</f>
        <v>0</v>
      </c>
      <c r="L6" s="3">
        <f>F3+H3+0+0+0+0+H6</f>
        <v>0.0</v>
      </c>
      <c r="M6" s="3">
        <f>F6+L6</f>
        <v>0.0</v>
      </c>
      <c r="N6" s="3">
        <f>IF(A6+1&gt;'Inputs'!$B$3,INDEX($D$2:$D$37,MAX(1,A6+1-'Inputs'!$B$3)),0)+F4+H4+0+0+0+0+(0+0)*(1-'Inputs'!$B$78)</f>
        <v>1.0</v>
      </c>
      <c r="O6" s="3">
        <f>IF(A6+1&gt;'Inputs'!$B$3,INDEX($D$2:$D$37,MAX(1,A6+1-'Inputs'!$B$3)),0)</f>
        <v>0</v>
      </c>
      <c r="P6" s="3">
        <f>F4+0+0</f>
        <v>1</v>
      </c>
      <c r="Q6" s="3">
        <f>H4+0+0+(0+0)*(1-'Inputs'!$B$78)</f>
        <v>0.0</v>
      </c>
      <c r="R6" s="3">
        <f>IF(A6&gt;'Inputs'!$B$4,INDEX($E$2:$E$37,MAX(1,A6-'Inputs'!$B$4)),0)</f>
        <v>1</v>
      </c>
      <c r="S6" s="3">
        <f>J6*'Inputs'!$B$74/12</f>
        <v>83333.33333333333</v>
      </c>
      <c r="T6" s="3">
        <f>R6*'Inputs'!$B$75</f>
        <v>110000</v>
      </c>
      <c r="U6" s="3">
        <f>S6*IF(C6&gt;1,'Inputs'!$B$80,0)</f>
        <v>0.0</v>
      </c>
      <c r="V6" s="3">
        <f>SUM(S6:U6)</f>
        <v>193333.3333333333</v>
      </c>
      <c r="W6" s="3">
        <f>J6*'Inputs'!$B$76/12</f>
        <v>15000.0</v>
      </c>
      <c r="X6" s="3">
        <f>J6*('Inputs'!$B$76*'Inputs'!$B$17+'Inputs'!$B$10*'Inputs'!$B$11+'Inputs'!$B$12*'Inputs'!$B$13+'Inputs'!$B$14*'Inputs'!$B$15+'Inputs'!$B$77+'Inputs'!$B$16)/12</f>
        <v>10083.333333333334</v>
      </c>
      <c r="Y6" s="3">
        <f>MAX(Y5,ROUNDUP((J6+K6)/'Inputs'!$B$9,0))</f>
        <v>1</v>
      </c>
      <c r="Z6" s="3">
        <f>Y6*'Inputs'!$B$8/12</f>
        <v>15000.0</v>
      </c>
      <c r="AA6" s="3">
        <f>W6+X6+Z6</f>
        <v>40083.333333333336</v>
      </c>
      <c r="AB6" s="3">
        <f>R6*('Inputs'!$B$19+'Inputs'!$B$20*'Inputs'!$B$21+'Inputs'!$B$22*'Inputs'!$B$11+'Inputs'!$B$23+'Inputs'!$B$24)</f>
        <v>94166.66666666667</v>
      </c>
      <c r="AC6" s="3">
        <f>U6*'Inputs'!$B$26</f>
        <v>0.0</v>
      </c>
      <c r="AD6" s="3">
        <f>AA6+AB6+AC6</f>
        <v>134250.0</v>
      </c>
      <c r="AE6" s="3">
        <f>V6-AD6</f>
        <v>59083.333333333314</v>
      </c>
      <c r="AF6" s="3">
        <f>'Inputs'!$B$27/12</f>
        <v>15000.0</v>
      </c>
      <c r="AG6" s="3">
        <f>'Inputs'!$B$81/12</f>
        <v>75000.0</v>
      </c>
      <c r="AH6" s="3">
        <f>'Inputs'!$B$30/12</f>
        <v>10000.0</v>
      </c>
      <c r="AI6" s="3">
        <f>'Inputs'!$B$33/12</f>
        <v>5000.0</v>
      </c>
      <c r="AJ6" s="3">
        <f>'Inputs'!$B$36/12</f>
        <v>5000.0</v>
      </c>
      <c r="AK6" s="3">
        <f>MAX(1,ROUNDUP((SUM($D$2:$D$13)+0.5*SUM($E$2:$E$13))/'Inputs'!$B$40,0))</f>
        <v>2</v>
      </c>
      <c r="AL6" s="3">
        <f>AK6*'Inputs'!$B$39/12</f>
        <v>30000.0</v>
      </c>
      <c r="AM6" s="3">
        <f>D6*'Inputs'!$B$41+E6*'Inputs'!$B$42</f>
        <v>0</v>
      </c>
      <c r="AN6" s="3">
        <f>0</f>
        <v>0</v>
      </c>
      <c r="AO6" s="3">
        <f>AF6+AG6+AH6+AI6+AJ6+AL6+AM6+AN6</f>
        <v>140000.0</v>
      </c>
      <c r="AP6" s="3">
        <f>AE6-AO6</f>
        <v>-80916.66666666669</v>
      </c>
      <c r="AQ6" s="3">
        <f>(D6+L6)*'Inputs'!$B$74/4</f>
        <v>0.0</v>
      </c>
      <c r="AR6" s="3">
        <f>(E6*'Inputs'!$B$25+R6*(1-'Inputs'!$B$25))*'Inputs'!$B$75</f>
        <v>55000.0</v>
      </c>
      <c r="AS6" s="3">
        <f>AQ6+AR6+U6</f>
        <v>55000.0</v>
      </c>
      <c r="AT6" s="3">
        <f>IF(A6&gt;'Inputs'!$B$5,INDEX($AS$2:$AS$37,MAX(1,A6-'Inputs'!$B$5)),0)</f>
        <v>55000.0</v>
      </c>
      <c r="AU6" s="3">
        <f>'Inputs'!$B$76*(O6*'Inputs'!$B$53+P6*(1-'Inputs'!$B$53)/3+Q6/4)</f>
        <v>35400.0</v>
      </c>
      <c r="AV6" s="3">
        <f>(E6+E5)*('Inputs'!$B$19+'Inputs'!$B$20*'Inputs'!$B$21+'Inputs'!$B$22*'Inputs'!$B$11+'Inputs'!$B$23+'Inputs'!$B$24)/2</f>
        <v>47083.333333333336</v>
      </c>
      <c r="AW6" s="3">
        <f>AU6+X6+Z6+AV6+AC6+AO6</f>
        <v>247566.6666666667</v>
      </c>
      <c r="AX6" s="3">
        <f>AT6-AW6</f>
        <v>-192566.6666666667</v>
      </c>
      <c r="AY6" s="3">
        <f>AY5+AX6</f>
        <v>-962783.3333333335</v>
      </c>
      <c r="AZ6" s="3">
        <f>AZ5+AS6-AT6</f>
        <v>110000.0</v>
      </c>
      <c r="BA6" s="3">
        <f>BA5+AQ6+AR6-S6-T6</f>
        <v>55000.00000000006</v>
      </c>
      <c r="BB6" s="3">
        <f>BB5+AU6-W6</f>
        <v>64200.0</v>
      </c>
      <c r="BC6" s="3">
        <f>BC5+AV6-AB6</f>
        <v>94166.66666666667</v>
      </c>
      <c r="BD6" s="3">
        <f>J6*'Inputs'!$B$74</f>
        <v>1000000.0</v>
      </c>
      <c r="BE6" s="3">
        <f>(J6+K6)/'Inputs'!$B$9</f>
        <v>0.5</v>
      </c>
      <c r="BF6" s="3">
        <f>J6*'Inputs'!$B$12</f>
        <v>0.2</v>
      </c>
      <c r="BG6" s="3">
        <f>J6*'Inputs'!$B$14</f>
        <v>0.2</v>
      </c>
      <c r="BH6" s="3">
        <f>J6*'Inputs'!$B$10/12+E6*'Inputs'!$B$22</f>
        <v>0.8333333333333334</v>
      </c>
      <c r="BI6" s="3">
        <f>'Inputs'!$B$6*'Inputs'!$B$7*(F6*('Inputs'!$B$49+'Inputs'!$B$47)+L6*('Inputs'!$B$49+'Inputs'!$B$48))+E6*'Inputs'!$B$46*'Inputs'!$B$18</f>
        <v>0.0</v>
      </c>
    </row>
    <row r="7" spans="1:61">
      <c r="A7">
        <v>6</v>
      </c>
      <c r="B7" t="s">
        <v>181</v>
      </c>
      <c r="C7">
        <v>1</v>
      </c>
      <c r="D7" s="2">
        <v>0</v>
      </c>
      <c r="E7" s="2">
        <v>1</v>
      </c>
      <c r="F7" s="3">
        <f>IF(A7&gt;'Inputs'!$B$3,INDEX($D$2:$D$37,MAX(1,A7-'Inputs'!$B$3)),0)</f>
        <v>0</v>
      </c>
      <c r="G7" s="3">
        <f>0+0</f>
        <v>0</v>
      </c>
      <c r="H7" s="3">
        <f>G7*(1-'Inputs'!$B$78)</f>
        <v>0.0</v>
      </c>
      <c r="I7" s="3">
        <f>G7-H7</f>
        <v>0.0</v>
      </c>
      <c r="J7" s="3">
        <f>J6+F7-I7</f>
        <v>1.0</v>
      </c>
      <c r="K7" s="3">
        <f>SUM($D$2:D7)-SUM($F$2:F7)</f>
        <v>0</v>
      </c>
      <c r="L7" s="3">
        <f>F4+H4+0+0+0+0+H7</f>
        <v>1.0</v>
      </c>
      <c r="M7" s="3">
        <f>F7+L7</f>
        <v>1.0</v>
      </c>
      <c r="N7" s="3">
        <f>IF(A7+1&gt;'Inputs'!$B$3,INDEX($D$2:$D$37,MAX(1,A7+1-'Inputs'!$B$3)),0)+F5+H5+F2+H2+0+0+(0+0)*(1-'Inputs'!$B$78)</f>
        <v>0.0</v>
      </c>
      <c r="O7" s="3">
        <f>IF(A7+1&gt;'Inputs'!$B$3,INDEX($D$2:$D$37,MAX(1,A7+1-'Inputs'!$B$3)),0)</f>
        <v>0</v>
      </c>
      <c r="P7" s="3">
        <f>F5+F2+0</f>
        <v>0</v>
      </c>
      <c r="Q7" s="3">
        <f>H5+H2+0+(0+0)*(1-'Inputs'!$B$78)</f>
        <v>0.0</v>
      </c>
      <c r="R7" s="3">
        <f>IF(A7&gt;'Inputs'!$B$4,INDEX($E$2:$E$37,MAX(1,A7-'Inputs'!$B$4)),0)</f>
        <v>1</v>
      </c>
      <c r="S7" s="3">
        <f>J7*'Inputs'!$B$74/12</f>
        <v>83333.33333333333</v>
      </c>
      <c r="T7" s="3">
        <f>R7*'Inputs'!$B$75</f>
        <v>110000</v>
      </c>
      <c r="U7" s="3">
        <f>S7*IF(C7&gt;1,'Inputs'!$B$80,0)</f>
        <v>0.0</v>
      </c>
      <c r="V7" s="3">
        <f>SUM(S7:U7)</f>
        <v>193333.3333333333</v>
      </c>
      <c r="W7" s="3">
        <f>J7*'Inputs'!$B$76/12</f>
        <v>15000.0</v>
      </c>
      <c r="X7" s="3">
        <f>J7*('Inputs'!$B$76*'Inputs'!$B$17+'Inputs'!$B$10*'Inputs'!$B$11+'Inputs'!$B$12*'Inputs'!$B$13+'Inputs'!$B$14*'Inputs'!$B$15+'Inputs'!$B$77+'Inputs'!$B$16)/12</f>
        <v>10083.333333333334</v>
      </c>
      <c r="Y7" s="3">
        <f>MAX(Y6,ROUNDUP((J7+K7)/'Inputs'!$B$9,0))</f>
        <v>1</v>
      </c>
      <c r="Z7" s="3">
        <f>Y7*'Inputs'!$B$8/12</f>
        <v>15000.0</v>
      </c>
      <c r="AA7" s="3">
        <f>W7+X7+Z7</f>
        <v>40083.333333333336</v>
      </c>
      <c r="AB7" s="3">
        <f>R7*('Inputs'!$B$19+'Inputs'!$B$20*'Inputs'!$B$21+'Inputs'!$B$22*'Inputs'!$B$11+'Inputs'!$B$23+'Inputs'!$B$24)</f>
        <v>94166.66666666667</v>
      </c>
      <c r="AC7" s="3">
        <f>U7*'Inputs'!$B$26</f>
        <v>0.0</v>
      </c>
      <c r="AD7" s="3">
        <f>AA7+AB7+AC7</f>
        <v>134250.0</v>
      </c>
      <c r="AE7" s="3">
        <f>V7-AD7</f>
        <v>59083.333333333314</v>
      </c>
      <c r="AF7" s="3">
        <f>'Inputs'!$B$27/12</f>
        <v>15000.0</v>
      </c>
      <c r="AG7" s="3">
        <f>'Inputs'!$B$81/12</f>
        <v>75000.0</v>
      </c>
      <c r="AH7" s="3">
        <f>'Inputs'!$B$30/12</f>
        <v>10000.0</v>
      </c>
      <c r="AI7" s="3">
        <f>'Inputs'!$B$33/12</f>
        <v>5000.0</v>
      </c>
      <c r="AJ7" s="3">
        <f>'Inputs'!$B$36/12</f>
        <v>5000.0</v>
      </c>
      <c r="AK7" s="3">
        <f>MAX(1,ROUNDUP((SUM($D$2:$D$13)+0.5*SUM($E$2:$E$13))/'Inputs'!$B$40,0))</f>
        <v>2</v>
      </c>
      <c r="AL7" s="3">
        <f>AK7*'Inputs'!$B$39/12</f>
        <v>30000.0</v>
      </c>
      <c r="AM7" s="3">
        <f>D7*'Inputs'!$B$41+E7*'Inputs'!$B$42</f>
        <v>5000</v>
      </c>
      <c r="AN7" s="3">
        <f>0</f>
        <v>0</v>
      </c>
      <c r="AO7" s="3">
        <f>AF7+AG7+AH7+AI7+AJ7+AL7+AM7+AN7</f>
        <v>145000.0</v>
      </c>
      <c r="AP7" s="3">
        <f>AE7-AO7</f>
        <v>-85916.66666666669</v>
      </c>
      <c r="AQ7" s="3">
        <f>(D7+L7)*'Inputs'!$B$74/4</f>
        <v>250000.0</v>
      </c>
      <c r="AR7" s="3">
        <f>(E7*'Inputs'!$B$25+R7*(1-'Inputs'!$B$25))*'Inputs'!$B$75</f>
        <v>110000.0</v>
      </c>
      <c r="AS7" s="3">
        <f>AQ7+AR7+U7</f>
        <v>360000.0</v>
      </c>
      <c r="AT7" s="3">
        <f>IF(A7&gt;'Inputs'!$B$5,INDEX($AS$2:$AS$37,MAX(1,A7-'Inputs'!$B$5)),0)</f>
        <v>55000.0</v>
      </c>
      <c r="AU7" s="3">
        <f>'Inputs'!$B$76*(O7*'Inputs'!$B$53+P7*(1-'Inputs'!$B$53)/3+Q7/4)</f>
        <v>0.0</v>
      </c>
      <c r="AV7" s="3">
        <f>(E7+E6)*('Inputs'!$B$19+'Inputs'!$B$20*'Inputs'!$B$21+'Inputs'!$B$22*'Inputs'!$B$11+'Inputs'!$B$23+'Inputs'!$B$24)/2</f>
        <v>47083.333333333336</v>
      </c>
      <c r="AW7" s="3">
        <f>AU7+X7+Z7+AV7+AC7+AO7</f>
        <v>217166.6666666667</v>
      </c>
      <c r="AX7" s="3">
        <f>AT7-AW7</f>
        <v>-162166.6666666667</v>
      </c>
      <c r="AY7" s="3">
        <f>AY6+AX7</f>
        <v>-1124950.0000000002</v>
      </c>
      <c r="AZ7" s="3">
        <f>AZ6+AS7-AT7</f>
        <v>415000.0</v>
      </c>
      <c r="BA7" s="3">
        <f>BA6+AQ7+AR7-S7-T7</f>
        <v>221666.66666666674</v>
      </c>
      <c r="BB7" s="3">
        <f>BB6+AU7-W7</f>
        <v>49200.0</v>
      </c>
      <c r="BC7" s="3">
        <f>BC6+AV7-AB7</f>
        <v>47083.33333333333</v>
      </c>
      <c r="BD7" s="3">
        <f>J7*'Inputs'!$B$74</f>
        <v>1000000.0</v>
      </c>
      <c r="BE7" s="3">
        <f>(J7+K7)/'Inputs'!$B$9</f>
        <v>0.5</v>
      </c>
      <c r="BF7" s="3">
        <f>J7*'Inputs'!$B$12</f>
        <v>0.2</v>
      </c>
      <c r="BG7" s="3">
        <f>J7*'Inputs'!$B$14</f>
        <v>0.2</v>
      </c>
      <c r="BH7" s="3">
        <f>J7*'Inputs'!$B$10/12+E7*'Inputs'!$B$22</f>
        <v>6.499999999999999</v>
      </c>
      <c r="BI7" s="3">
        <f>'Inputs'!$B$6*'Inputs'!$B$7*(F7*('Inputs'!$B$49+'Inputs'!$B$47)+L7*('Inputs'!$B$49+'Inputs'!$B$48))+E7*'Inputs'!$B$46*'Inputs'!$B$18</f>
        <v>3680.0</v>
      </c>
    </row>
    <row r="8" spans="1:61">
      <c r="A8">
        <v>7</v>
      </c>
      <c r="B8" t="s">
        <v>182</v>
      </c>
      <c r="C8">
        <v>1</v>
      </c>
      <c r="D8" s="2">
        <v>1</v>
      </c>
      <c r="E8" s="2">
        <v>0</v>
      </c>
      <c r="F8" s="3">
        <f>IF(A8&gt;'Inputs'!$B$3,INDEX($D$2:$D$37,MAX(1,A8-'Inputs'!$B$3)),0)</f>
        <v>0</v>
      </c>
      <c r="G8" s="3">
        <f>0+0</f>
        <v>0</v>
      </c>
      <c r="H8" s="3">
        <f>G8*(1-'Inputs'!$B$78)</f>
        <v>0.0</v>
      </c>
      <c r="I8" s="3">
        <f>G8-H8</f>
        <v>0.0</v>
      </c>
      <c r="J8" s="3">
        <f>J7+F8-I8</f>
        <v>1.0</v>
      </c>
      <c r="K8" s="3">
        <f>SUM($D$2:D8)-SUM($F$2:F8)</f>
        <v>1</v>
      </c>
      <c r="L8" s="3">
        <f>F5+H5+F2+H2+0+0+H8</f>
        <v>0.0</v>
      </c>
      <c r="M8" s="3">
        <f>F8+L8</f>
        <v>0.0</v>
      </c>
      <c r="N8" s="3">
        <f>IF(A8+1&gt;'Inputs'!$B$3,INDEX($D$2:$D$37,MAX(1,A8+1-'Inputs'!$B$3)),0)+F6+H6+F3+H3+0+0+(0+0)*(1-'Inputs'!$B$78)</f>
        <v>0.0</v>
      </c>
      <c r="O8" s="3">
        <f>IF(A8+1&gt;'Inputs'!$B$3,INDEX($D$2:$D$37,MAX(1,A8+1-'Inputs'!$B$3)),0)</f>
        <v>0</v>
      </c>
      <c r="P8" s="3">
        <f>F6+F3+0</f>
        <v>0</v>
      </c>
      <c r="Q8" s="3">
        <f>H6+H3+0+(0+0)*(1-'Inputs'!$B$78)</f>
        <v>0.0</v>
      </c>
      <c r="R8" s="3">
        <f>IF(A8&gt;'Inputs'!$B$4,INDEX($E$2:$E$37,MAX(1,A8-'Inputs'!$B$4)),0)</f>
        <v>0</v>
      </c>
      <c r="S8" s="3">
        <f>J8*'Inputs'!$B$74/12</f>
        <v>83333.33333333333</v>
      </c>
      <c r="T8" s="3">
        <f>R8*'Inputs'!$B$75</f>
        <v>0</v>
      </c>
      <c r="U8" s="3">
        <f>S8*IF(C8&gt;1,'Inputs'!$B$80,0)</f>
        <v>0.0</v>
      </c>
      <c r="V8" s="3">
        <f>SUM(S8:U8)</f>
        <v>83333.33333333333</v>
      </c>
      <c r="W8" s="3">
        <f>J8*'Inputs'!$B$76/12</f>
        <v>15000.0</v>
      </c>
      <c r="X8" s="3">
        <f>J8*('Inputs'!$B$76*'Inputs'!$B$17+'Inputs'!$B$10*'Inputs'!$B$11+'Inputs'!$B$12*'Inputs'!$B$13+'Inputs'!$B$14*'Inputs'!$B$15+'Inputs'!$B$77+'Inputs'!$B$16)/12</f>
        <v>10083.333333333334</v>
      </c>
      <c r="Y8" s="3">
        <f>MAX(Y7,ROUNDUP((J8+K8)/'Inputs'!$B$9,0))</f>
        <v>1</v>
      </c>
      <c r="Z8" s="3">
        <f>Y8*'Inputs'!$B$8/12</f>
        <v>15000.0</v>
      </c>
      <c r="AA8" s="3">
        <f>W8+X8+Z8</f>
        <v>40083.333333333336</v>
      </c>
      <c r="AB8" s="3">
        <f>R8*('Inputs'!$B$19+'Inputs'!$B$20*'Inputs'!$B$21+'Inputs'!$B$22*'Inputs'!$B$11+'Inputs'!$B$23+'Inputs'!$B$24)</f>
        <v>0.0</v>
      </c>
      <c r="AC8" s="3">
        <f>U8*'Inputs'!$B$26</f>
        <v>0.0</v>
      </c>
      <c r="AD8" s="3">
        <f>AA8+AB8+AC8</f>
        <v>40083.333333333336</v>
      </c>
      <c r="AE8" s="3">
        <f>V8-AD8</f>
        <v>43249.99999999999</v>
      </c>
      <c r="AF8" s="3">
        <f>'Inputs'!$B$27/12</f>
        <v>15000.0</v>
      </c>
      <c r="AG8" s="3">
        <f>'Inputs'!$B$81/12</f>
        <v>75000.0</v>
      </c>
      <c r="AH8" s="3">
        <f>'Inputs'!$B$30/12</f>
        <v>10000.0</v>
      </c>
      <c r="AI8" s="3">
        <f>'Inputs'!$B$33/12</f>
        <v>5000.0</v>
      </c>
      <c r="AJ8" s="3">
        <f>'Inputs'!$B$36/12</f>
        <v>5000.0</v>
      </c>
      <c r="AK8" s="3">
        <f>MAX(1,ROUNDUP((SUM($D$2:$D$13)+0.5*SUM($E$2:$E$13))/'Inputs'!$B$40,0))</f>
        <v>2</v>
      </c>
      <c r="AL8" s="3">
        <f>AK8*'Inputs'!$B$39/12</f>
        <v>30000.0</v>
      </c>
      <c r="AM8" s="3">
        <f>D8*'Inputs'!$B$41+E8*'Inputs'!$B$42</f>
        <v>15000</v>
      </c>
      <c r="AN8" s="3">
        <f>0</f>
        <v>0</v>
      </c>
      <c r="AO8" s="3">
        <f>AF8+AG8+AH8+AI8+AJ8+AL8+AM8+AN8</f>
        <v>155000.0</v>
      </c>
      <c r="AP8" s="3">
        <f>AE8-AO8</f>
        <v>-111750.0</v>
      </c>
      <c r="AQ8" s="3">
        <f>(D8+L8)*'Inputs'!$B$74/4</f>
        <v>250000.0</v>
      </c>
      <c r="AR8" s="3">
        <f>(E8*'Inputs'!$B$25+R8*(1-'Inputs'!$B$25))*'Inputs'!$B$75</f>
        <v>0.0</v>
      </c>
      <c r="AS8" s="3">
        <f>AQ8+AR8+U8</f>
        <v>250000.0</v>
      </c>
      <c r="AT8" s="3">
        <f>IF(A8&gt;'Inputs'!$B$5,INDEX($AS$2:$AS$37,MAX(1,A8-'Inputs'!$B$5)),0)</f>
        <v>55000.0</v>
      </c>
      <c r="AU8" s="3">
        <f>'Inputs'!$B$76*(O8*'Inputs'!$B$53+P8*(1-'Inputs'!$B$53)/3+Q8/4)</f>
        <v>0.0</v>
      </c>
      <c r="AV8" s="3">
        <f>(E8+E7)*('Inputs'!$B$19+'Inputs'!$B$20*'Inputs'!$B$21+'Inputs'!$B$22*'Inputs'!$B$11+'Inputs'!$B$23+'Inputs'!$B$24)/2</f>
        <v>47083.333333333336</v>
      </c>
      <c r="AW8" s="3">
        <f>AU8+X8+Z8+AV8+AC8+AO8</f>
        <v>227166.6666666667</v>
      </c>
      <c r="AX8" s="3">
        <f>AT8-AW8</f>
        <v>-172166.6666666667</v>
      </c>
      <c r="AY8" s="3">
        <f>AY7+AX8</f>
        <v>-1297116.666666667</v>
      </c>
      <c r="AZ8" s="3">
        <f>AZ7+AS8-AT8</f>
        <v>610000.0</v>
      </c>
      <c r="BA8" s="3">
        <f>BA7+AQ8+AR8-S8-T8</f>
        <v>388333.33333333343</v>
      </c>
      <c r="BB8" s="3">
        <f>BB7+AU8-W8</f>
        <v>34200.0</v>
      </c>
      <c r="BC8" s="3">
        <f>BC7+AV8-AB8</f>
        <v>94166.66666666666</v>
      </c>
      <c r="BD8" s="3">
        <f>J8*'Inputs'!$B$74</f>
        <v>1000000.0</v>
      </c>
      <c r="BE8" s="3">
        <f>(J8+K8)/'Inputs'!$B$9</f>
        <v>1.0</v>
      </c>
      <c r="BF8" s="3">
        <f>J8*'Inputs'!$B$12</f>
        <v>0.2</v>
      </c>
      <c r="BG8" s="3">
        <f>J8*'Inputs'!$B$14</f>
        <v>0.2</v>
      </c>
      <c r="BH8" s="3">
        <f>J8*'Inputs'!$B$10/12+E8*'Inputs'!$B$22</f>
        <v>0.8333333333333334</v>
      </c>
      <c r="BI8" s="3">
        <f>'Inputs'!$B$6*'Inputs'!$B$7*(F8*('Inputs'!$B$49+'Inputs'!$B$47)+L8*('Inputs'!$B$49+'Inputs'!$B$48))+E8*'Inputs'!$B$46*'Inputs'!$B$18</f>
        <v>0.0</v>
      </c>
    </row>
    <row r="9" spans="1:61">
      <c r="A9">
        <v>8</v>
      </c>
      <c r="B9" t="s">
        <v>183</v>
      </c>
      <c r="C9">
        <v>1</v>
      </c>
      <c r="D9" s="2">
        <v>1</v>
      </c>
      <c r="E9" s="2">
        <v>1</v>
      </c>
      <c r="F9" s="3">
        <f>IF(A9&gt;'Inputs'!$B$3,INDEX($D$2:$D$37,MAX(1,A9-'Inputs'!$B$3)),0)</f>
        <v>0</v>
      </c>
      <c r="G9" s="3">
        <f>0+0</f>
        <v>0</v>
      </c>
      <c r="H9" s="3">
        <f>G9*(1-'Inputs'!$B$78)</f>
        <v>0.0</v>
      </c>
      <c r="I9" s="3">
        <f>G9-H9</f>
        <v>0.0</v>
      </c>
      <c r="J9" s="3">
        <f>J8+F9-I9</f>
        <v>1.0</v>
      </c>
      <c r="K9" s="3">
        <f>SUM($D$2:D9)-SUM($F$2:F9)</f>
        <v>2</v>
      </c>
      <c r="L9" s="3">
        <f>F6+H6+F3+H3+0+0+H9</f>
        <v>0.0</v>
      </c>
      <c r="M9" s="3">
        <f>F9+L9</f>
        <v>0.0</v>
      </c>
      <c r="N9" s="3">
        <f>IF(A9+1&gt;'Inputs'!$B$3,INDEX($D$2:$D$37,MAX(1,A9+1-'Inputs'!$B$3)),0)+F7+H7+F4+H4+0+0+(0+0)*(1-'Inputs'!$B$78)</f>
        <v>2.0</v>
      </c>
      <c r="O9" s="3">
        <f>IF(A9+1&gt;'Inputs'!$B$3,INDEX($D$2:$D$37,MAX(1,A9+1-'Inputs'!$B$3)),0)</f>
        <v>1</v>
      </c>
      <c r="P9" s="3">
        <f>F7+F4+0</f>
        <v>1</v>
      </c>
      <c r="Q9" s="3">
        <f>H7+H4+0+(0+0)*(1-'Inputs'!$B$78)</f>
        <v>0.0</v>
      </c>
      <c r="R9" s="3">
        <f>IF(A9&gt;'Inputs'!$B$4,INDEX($E$2:$E$37,MAX(1,A9-'Inputs'!$B$4)),0)</f>
        <v>1</v>
      </c>
      <c r="S9" s="3">
        <f>J9*'Inputs'!$B$74/12</f>
        <v>83333.33333333333</v>
      </c>
      <c r="T9" s="3">
        <f>R9*'Inputs'!$B$75</f>
        <v>110000</v>
      </c>
      <c r="U9" s="3">
        <f>S9*IF(C9&gt;1,'Inputs'!$B$80,0)</f>
        <v>0.0</v>
      </c>
      <c r="V9" s="3">
        <f>SUM(S9:U9)</f>
        <v>193333.3333333333</v>
      </c>
      <c r="W9" s="3">
        <f>J9*'Inputs'!$B$76/12</f>
        <v>15000.0</v>
      </c>
      <c r="X9" s="3">
        <f>J9*('Inputs'!$B$76*'Inputs'!$B$17+'Inputs'!$B$10*'Inputs'!$B$11+'Inputs'!$B$12*'Inputs'!$B$13+'Inputs'!$B$14*'Inputs'!$B$15+'Inputs'!$B$77+'Inputs'!$B$16)/12</f>
        <v>10083.333333333334</v>
      </c>
      <c r="Y9" s="3">
        <f>MAX(Y8,ROUNDUP((J9+K9)/'Inputs'!$B$9,0))</f>
        <v>2</v>
      </c>
      <c r="Z9" s="3">
        <f>Y9*'Inputs'!$B$8/12</f>
        <v>30000.0</v>
      </c>
      <c r="AA9" s="3">
        <f>W9+X9+Z9</f>
        <v>55083.333333333336</v>
      </c>
      <c r="AB9" s="3">
        <f>R9*('Inputs'!$B$19+'Inputs'!$B$20*'Inputs'!$B$21+'Inputs'!$B$22*'Inputs'!$B$11+'Inputs'!$B$23+'Inputs'!$B$24)</f>
        <v>94166.66666666667</v>
      </c>
      <c r="AC9" s="3">
        <f>U9*'Inputs'!$B$26</f>
        <v>0.0</v>
      </c>
      <c r="AD9" s="3">
        <f>AA9+AB9+AC9</f>
        <v>149250.0</v>
      </c>
      <c r="AE9" s="3">
        <f>V9-AD9</f>
        <v>44083.333333333314</v>
      </c>
      <c r="AF9" s="3">
        <f>'Inputs'!$B$27/12</f>
        <v>15000.0</v>
      </c>
      <c r="AG9" s="3">
        <f>'Inputs'!$B$81/12</f>
        <v>75000.0</v>
      </c>
      <c r="AH9" s="3">
        <f>'Inputs'!$B$30/12</f>
        <v>10000.0</v>
      </c>
      <c r="AI9" s="3">
        <f>'Inputs'!$B$33/12</f>
        <v>5000.0</v>
      </c>
      <c r="AJ9" s="3">
        <f>'Inputs'!$B$36/12</f>
        <v>5000.0</v>
      </c>
      <c r="AK9" s="3">
        <f>MAX(1,ROUNDUP((SUM($D$2:$D$13)+0.5*SUM($E$2:$E$13))/'Inputs'!$B$40,0))</f>
        <v>2</v>
      </c>
      <c r="AL9" s="3">
        <f>AK9*'Inputs'!$B$39/12</f>
        <v>30000.0</v>
      </c>
      <c r="AM9" s="3">
        <f>D9*'Inputs'!$B$41+E9*'Inputs'!$B$42</f>
        <v>20000</v>
      </c>
      <c r="AN9" s="3">
        <f>0</f>
        <v>0</v>
      </c>
      <c r="AO9" s="3">
        <f>AF9+AG9+AH9+AI9+AJ9+AL9+AM9+AN9</f>
        <v>160000.0</v>
      </c>
      <c r="AP9" s="3">
        <f>AE9-AO9</f>
        <v>-115916.66666666669</v>
      </c>
      <c r="AQ9" s="3">
        <f>(D9+L9)*'Inputs'!$B$74/4</f>
        <v>250000.0</v>
      </c>
      <c r="AR9" s="3">
        <f>(E9*'Inputs'!$B$25+R9*(1-'Inputs'!$B$25))*'Inputs'!$B$75</f>
        <v>110000.0</v>
      </c>
      <c r="AS9" s="3">
        <f>AQ9+AR9+U9</f>
        <v>360000.0</v>
      </c>
      <c r="AT9" s="3">
        <f>IF(A9&gt;'Inputs'!$B$5,INDEX($AS$2:$AS$37,MAX(1,A9-'Inputs'!$B$5)),0)</f>
        <v>360000.0</v>
      </c>
      <c r="AU9" s="3">
        <f>'Inputs'!$B$76*(O9*'Inputs'!$B$53+P9*(1-'Inputs'!$B$53)/3+Q9/4)</f>
        <v>109200.0</v>
      </c>
      <c r="AV9" s="3">
        <f>(E9+E8)*('Inputs'!$B$19+'Inputs'!$B$20*'Inputs'!$B$21+'Inputs'!$B$22*'Inputs'!$B$11+'Inputs'!$B$23+'Inputs'!$B$24)/2</f>
        <v>47083.333333333336</v>
      </c>
      <c r="AW9" s="3">
        <f>AU9+X9+Z9+AV9+AC9+AO9</f>
        <v>356366.6666666666</v>
      </c>
      <c r="AX9" s="3">
        <f>AT9-AW9</f>
        <v>3633.333333333372</v>
      </c>
      <c r="AY9" s="3">
        <f>AY8+AX9</f>
        <v>-1293483.3333333335</v>
      </c>
      <c r="AZ9" s="3">
        <f>AZ8+AS9-AT9</f>
        <v>610000.0</v>
      </c>
      <c r="BA9" s="3">
        <f>BA8+AQ9+AR9-S9-T9</f>
        <v>555000.0000000001</v>
      </c>
      <c r="BB9" s="3">
        <f>BB8+AU9-W9</f>
        <v>128400.0</v>
      </c>
      <c r="BC9" s="3">
        <f>BC8+AV9-AB9</f>
        <v>47083.33333333333</v>
      </c>
      <c r="BD9" s="3">
        <f>J9*'Inputs'!$B$74</f>
        <v>1000000.0</v>
      </c>
      <c r="BE9" s="3">
        <f>(J9+K9)/'Inputs'!$B$9</f>
        <v>1.5</v>
      </c>
      <c r="BF9" s="3">
        <f>J9*'Inputs'!$B$12</f>
        <v>0.2</v>
      </c>
      <c r="BG9" s="3">
        <f>J9*'Inputs'!$B$14</f>
        <v>0.2</v>
      </c>
      <c r="BH9" s="3">
        <f>J9*'Inputs'!$B$10/12+E9*'Inputs'!$B$22</f>
        <v>6.499999999999999</v>
      </c>
      <c r="BI9" s="3">
        <f>'Inputs'!$B$6*'Inputs'!$B$7*(F9*('Inputs'!$B$49+'Inputs'!$B$47)+L9*('Inputs'!$B$49+'Inputs'!$B$48))+E9*'Inputs'!$B$46*'Inputs'!$B$18</f>
        <v>1760.0</v>
      </c>
    </row>
    <row r="10" spans="1:61">
      <c r="A10">
        <v>9</v>
      </c>
      <c r="B10" t="s">
        <v>184</v>
      </c>
      <c r="C10">
        <v>1</v>
      </c>
      <c r="D10" s="2">
        <v>1</v>
      </c>
      <c r="E10" s="2">
        <v>0</v>
      </c>
      <c r="F10" s="3">
        <f>IF(A10&gt;'Inputs'!$B$3,INDEX($D$2:$D$37,MAX(1,A10-'Inputs'!$B$3)),0)</f>
        <v>1</v>
      </c>
      <c r="G10" s="3">
        <f>0+0</f>
        <v>0</v>
      </c>
      <c r="H10" s="3">
        <f>G10*(1-'Inputs'!$B$78)</f>
        <v>0.0</v>
      </c>
      <c r="I10" s="3">
        <f>G10-H10</f>
        <v>0.0</v>
      </c>
      <c r="J10" s="3">
        <f>J9+F10-I10</f>
        <v>2.0</v>
      </c>
      <c r="K10" s="3">
        <f>SUM($D$2:D10)-SUM($F$2:F10)</f>
        <v>2</v>
      </c>
      <c r="L10" s="3">
        <f>F7+H7+F4+H4+0+0+H10</f>
        <v>1.0</v>
      </c>
      <c r="M10" s="3">
        <f>F10+L10</f>
        <v>2.0</v>
      </c>
      <c r="N10" s="3">
        <f>IF(A10+1&gt;'Inputs'!$B$3,INDEX($D$2:$D$37,MAX(1,A10+1-'Inputs'!$B$3)),0)+F8+H8+F5+H5+F2+H2+(0+0)*(1-'Inputs'!$B$78)</f>
        <v>1.0</v>
      </c>
      <c r="O10" s="3">
        <f>IF(A10+1&gt;'Inputs'!$B$3,INDEX($D$2:$D$37,MAX(1,A10+1-'Inputs'!$B$3)),0)</f>
        <v>1</v>
      </c>
      <c r="P10" s="3">
        <f>F8+F5+F2</f>
        <v>0</v>
      </c>
      <c r="Q10" s="3">
        <f>H8+H5+H2+(0+0)*(1-'Inputs'!$B$78)</f>
        <v>0.0</v>
      </c>
      <c r="R10" s="3">
        <f>IF(A10&gt;'Inputs'!$B$4,INDEX($E$2:$E$37,MAX(1,A10-'Inputs'!$B$4)),0)</f>
        <v>0</v>
      </c>
      <c r="S10" s="3">
        <f>J10*'Inputs'!$B$74/12</f>
        <v>166666.66666666666</v>
      </c>
      <c r="T10" s="3">
        <f>R10*'Inputs'!$B$75</f>
        <v>0</v>
      </c>
      <c r="U10" s="3">
        <f>S10*IF(C10&gt;1,'Inputs'!$B$80,0)</f>
        <v>0.0</v>
      </c>
      <c r="V10" s="3">
        <f>SUM(S10:U10)</f>
        <v>166666.66666666666</v>
      </c>
      <c r="W10" s="3">
        <f>J10*'Inputs'!$B$76/12</f>
        <v>30000.0</v>
      </c>
      <c r="X10" s="3">
        <f>J10*('Inputs'!$B$76*'Inputs'!$B$17+'Inputs'!$B$10*'Inputs'!$B$11+'Inputs'!$B$12*'Inputs'!$B$13+'Inputs'!$B$14*'Inputs'!$B$15+'Inputs'!$B$77+'Inputs'!$B$16)/12</f>
        <v>20166.666666666668</v>
      </c>
      <c r="Y10" s="3">
        <f>MAX(Y9,ROUNDUP((J10+K10)/'Inputs'!$B$9,0))</f>
        <v>2</v>
      </c>
      <c r="Z10" s="3">
        <f>Y10*'Inputs'!$B$8/12</f>
        <v>30000.0</v>
      </c>
      <c r="AA10" s="3">
        <f>W10+X10+Z10</f>
        <v>80166.66666666667</v>
      </c>
      <c r="AB10" s="3">
        <f>R10*('Inputs'!$B$19+'Inputs'!$B$20*'Inputs'!$B$21+'Inputs'!$B$22*'Inputs'!$B$11+'Inputs'!$B$23+'Inputs'!$B$24)</f>
        <v>0.0</v>
      </c>
      <c r="AC10" s="3">
        <f>U10*'Inputs'!$B$26</f>
        <v>0.0</v>
      </c>
      <c r="AD10" s="3">
        <f>AA10+AB10+AC10</f>
        <v>80166.66666666667</v>
      </c>
      <c r="AE10" s="3">
        <f>V10-AD10</f>
        <v>86499.99999999999</v>
      </c>
      <c r="AF10" s="3">
        <f>'Inputs'!$B$27/12</f>
        <v>15000.0</v>
      </c>
      <c r="AG10" s="3">
        <f>'Inputs'!$B$81/12</f>
        <v>75000.0</v>
      </c>
      <c r="AH10" s="3">
        <f>'Inputs'!$B$30/12</f>
        <v>10000.0</v>
      </c>
      <c r="AI10" s="3">
        <f>'Inputs'!$B$33/12</f>
        <v>5000.0</v>
      </c>
      <c r="AJ10" s="3">
        <f>'Inputs'!$B$36/12</f>
        <v>5000.0</v>
      </c>
      <c r="AK10" s="3">
        <f>MAX(1,ROUNDUP((SUM($D$2:$D$13)+0.5*SUM($E$2:$E$13))/'Inputs'!$B$40,0))</f>
        <v>2</v>
      </c>
      <c r="AL10" s="3">
        <f>AK10*'Inputs'!$B$39/12</f>
        <v>30000.0</v>
      </c>
      <c r="AM10" s="3">
        <f>D10*'Inputs'!$B$41+E10*'Inputs'!$B$42</f>
        <v>15000</v>
      </c>
      <c r="AN10" s="3">
        <f>0</f>
        <v>0</v>
      </c>
      <c r="AO10" s="3">
        <f>AF10+AG10+AH10+AI10+AJ10+AL10+AM10+AN10</f>
        <v>155000.0</v>
      </c>
      <c r="AP10" s="3">
        <f>AE10-AO10</f>
        <v>-68500.00000000001</v>
      </c>
      <c r="AQ10" s="3">
        <f>(D10+L10)*'Inputs'!$B$74/4</f>
        <v>500000.0</v>
      </c>
      <c r="AR10" s="3">
        <f>(E10*'Inputs'!$B$25+R10*(1-'Inputs'!$B$25))*'Inputs'!$B$75</f>
        <v>0.0</v>
      </c>
      <c r="AS10" s="3">
        <f>AQ10+AR10+U10</f>
        <v>500000.0</v>
      </c>
      <c r="AT10" s="3">
        <f>IF(A10&gt;'Inputs'!$B$5,INDEX($AS$2:$AS$37,MAX(1,A10-'Inputs'!$B$5)),0)</f>
        <v>250000.0</v>
      </c>
      <c r="AU10" s="3">
        <f>'Inputs'!$B$76*(O10*'Inputs'!$B$53+P10*(1-'Inputs'!$B$53)/3+Q10/4)</f>
        <v>73800.0</v>
      </c>
      <c r="AV10" s="3">
        <f>(E10+E9)*('Inputs'!$B$19+'Inputs'!$B$20*'Inputs'!$B$21+'Inputs'!$B$22*'Inputs'!$B$11+'Inputs'!$B$23+'Inputs'!$B$24)/2</f>
        <v>47083.333333333336</v>
      </c>
      <c r="AW10" s="3">
        <f>AU10+X10+Z10+AV10+AC10+AO10</f>
        <v>326050.0</v>
      </c>
      <c r="AX10" s="3">
        <f>AT10-AW10</f>
        <v>-76050.0</v>
      </c>
      <c r="AY10" s="3">
        <f>AY9+AX10</f>
        <v>-1369533.3333333335</v>
      </c>
      <c r="AZ10" s="3">
        <f>AZ9+AS10-AT10</f>
        <v>860000.0</v>
      </c>
      <c r="BA10" s="3">
        <f>BA9+AQ10+AR10-S10-T10</f>
        <v>888333.3333333334</v>
      </c>
      <c r="BB10" s="3">
        <f>BB9+AU10-W10</f>
        <v>172200.0</v>
      </c>
      <c r="BC10" s="3">
        <f>BC9+AV10-AB10</f>
        <v>94166.66666666666</v>
      </c>
      <c r="BD10" s="3">
        <f>J10*'Inputs'!$B$74</f>
        <v>2000000.0</v>
      </c>
      <c r="BE10" s="3">
        <f>(J10+K10)/'Inputs'!$B$9</f>
        <v>2.0</v>
      </c>
      <c r="BF10" s="3">
        <f>J10*'Inputs'!$B$12</f>
        <v>0.4</v>
      </c>
      <c r="BG10" s="3">
        <f>J10*'Inputs'!$B$14</f>
        <v>0.4</v>
      </c>
      <c r="BH10" s="3">
        <f>J10*'Inputs'!$B$10/12+E10*'Inputs'!$B$22</f>
        <v>1.6666666666666667</v>
      </c>
      <c r="BI10" s="3">
        <f>'Inputs'!$B$6*'Inputs'!$B$7*(F10*('Inputs'!$B$49+'Inputs'!$B$47)+L10*('Inputs'!$B$49+'Inputs'!$B$48))+E10*'Inputs'!$B$46*'Inputs'!$B$18</f>
        <v>4320.0</v>
      </c>
    </row>
    <row r="11" spans="1:61">
      <c r="A11">
        <v>10</v>
      </c>
      <c r="B11" t="s">
        <v>185</v>
      </c>
      <c r="C11">
        <v>1</v>
      </c>
      <c r="D11" s="2">
        <v>1</v>
      </c>
      <c r="E11" s="2">
        <v>1</v>
      </c>
      <c r="F11" s="3">
        <f>IF(A11&gt;'Inputs'!$B$3,INDEX($D$2:$D$37,MAX(1,A11-'Inputs'!$B$3)),0)</f>
        <v>1</v>
      </c>
      <c r="G11" s="3">
        <f>0+0</f>
        <v>0</v>
      </c>
      <c r="H11" s="3">
        <f>G11*(1-'Inputs'!$B$78)</f>
        <v>0.0</v>
      </c>
      <c r="I11" s="3">
        <f>G11-H11</f>
        <v>0.0</v>
      </c>
      <c r="J11" s="3">
        <f>J10+F11-I11</f>
        <v>3.0</v>
      </c>
      <c r="K11" s="3">
        <f>SUM($D$2:D11)-SUM($F$2:F11)</f>
        <v>2</v>
      </c>
      <c r="L11" s="3">
        <f>F8+H8+F5+H5+F2+H2+H11</f>
        <v>0.0</v>
      </c>
      <c r="M11" s="3">
        <f>F11+L11</f>
        <v>1.0</v>
      </c>
      <c r="N11" s="3">
        <f>IF(A11+1&gt;'Inputs'!$B$3,INDEX($D$2:$D$37,MAX(1,A11+1-'Inputs'!$B$3)),0)+F9+H9+F6+H6+F3+H3+(0+0)*(1-'Inputs'!$B$78)</f>
        <v>1.0</v>
      </c>
      <c r="O11" s="3">
        <f>IF(A11+1&gt;'Inputs'!$B$3,INDEX($D$2:$D$37,MAX(1,A11+1-'Inputs'!$B$3)),0)</f>
        <v>1</v>
      </c>
      <c r="P11" s="3">
        <f>F9+F6+F3</f>
        <v>0</v>
      </c>
      <c r="Q11" s="3">
        <f>H9+H6+H3+(0+0)*(1-'Inputs'!$B$78)</f>
        <v>0.0</v>
      </c>
      <c r="R11" s="3">
        <f>IF(A11&gt;'Inputs'!$B$4,INDEX($E$2:$E$37,MAX(1,A11-'Inputs'!$B$4)),0)</f>
        <v>1</v>
      </c>
      <c r="S11" s="3">
        <f>J11*'Inputs'!$B$74/12</f>
        <v>250000.0</v>
      </c>
      <c r="T11" s="3">
        <f>R11*'Inputs'!$B$75</f>
        <v>110000</v>
      </c>
      <c r="U11" s="3">
        <f>S11*IF(C11&gt;1,'Inputs'!$B$80,0)</f>
        <v>0.0</v>
      </c>
      <c r="V11" s="3">
        <f>SUM(S11:U11)</f>
        <v>360000.0</v>
      </c>
      <c r="W11" s="3">
        <f>J11*'Inputs'!$B$76/12</f>
        <v>45000.0</v>
      </c>
      <c r="X11" s="3">
        <f>J11*('Inputs'!$B$76*'Inputs'!$B$17+'Inputs'!$B$10*'Inputs'!$B$11+'Inputs'!$B$12*'Inputs'!$B$13+'Inputs'!$B$14*'Inputs'!$B$15+'Inputs'!$B$77+'Inputs'!$B$16)/12</f>
        <v>30250.0</v>
      </c>
      <c r="Y11" s="3">
        <f>MAX(Y10,ROUNDUP((J11+K11)/'Inputs'!$B$9,0))</f>
        <v>3</v>
      </c>
      <c r="Z11" s="3">
        <f>Y11*'Inputs'!$B$8/12</f>
        <v>45000.0</v>
      </c>
      <c r="AA11" s="3">
        <f>W11+X11+Z11</f>
        <v>120250.0</v>
      </c>
      <c r="AB11" s="3">
        <f>R11*('Inputs'!$B$19+'Inputs'!$B$20*'Inputs'!$B$21+'Inputs'!$B$22*'Inputs'!$B$11+'Inputs'!$B$23+'Inputs'!$B$24)</f>
        <v>94166.66666666667</v>
      </c>
      <c r="AC11" s="3">
        <f>U11*'Inputs'!$B$26</f>
        <v>0.0</v>
      </c>
      <c r="AD11" s="3">
        <f>AA11+AB11+AC11</f>
        <v>214416.6666666667</v>
      </c>
      <c r="AE11" s="3">
        <f>V11-AD11</f>
        <v>145583.3333333333</v>
      </c>
      <c r="AF11" s="3">
        <f>'Inputs'!$B$27/12</f>
        <v>15000.0</v>
      </c>
      <c r="AG11" s="3">
        <f>'Inputs'!$B$81/12</f>
        <v>75000.0</v>
      </c>
      <c r="AH11" s="3">
        <f>'Inputs'!$B$30/12</f>
        <v>10000.0</v>
      </c>
      <c r="AI11" s="3">
        <f>'Inputs'!$B$33/12</f>
        <v>5000.0</v>
      </c>
      <c r="AJ11" s="3">
        <f>'Inputs'!$B$36/12</f>
        <v>5000.0</v>
      </c>
      <c r="AK11" s="3">
        <f>MAX(1,ROUNDUP((SUM($D$2:$D$13)+0.5*SUM($E$2:$E$13))/'Inputs'!$B$40,0))</f>
        <v>2</v>
      </c>
      <c r="AL11" s="3">
        <f>AK11*'Inputs'!$B$39/12</f>
        <v>30000.0</v>
      </c>
      <c r="AM11" s="3">
        <f>D11*'Inputs'!$B$41+E11*'Inputs'!$B$42</f>
        <v>20000</v>
      </c>
      <c r="AN11" s="3">
        <f>0</f>
        <v>0</v>
      </c>
      <c r="AO11" s="3">
        <f>AF11+AG11+AH11+AI11+AJ11+AL11+AM11+AN11</f>
        <v>160000.0</v>
      </c>
      <c r="AP11" s="3">
        <f>AE11-AO11</f>
        <v>-14416.666666666686</v>
      </c>
      <c r="AQ11" s="3">
        <f>(D11+L11)*'Inputs'!$B$74/4</f>
        <v>250000.0</v>
      </c>
      <c r="AR11" s="3">
        <f>(E11*'Inputs'!$B$25+R11*(1-'Inputs'!$B$25))*'Inputs'!$B$75</f>
        <v>110000.0</v>
      </c>
      <c r="AS11" s="3">
        <f>AQ11+AR11+U11</f>
        <v>360000.0</v>
      </c>
      <c r="AT11" s="3">
        <f>IF(A11&gt;'Inputs'!$B$5,INDEX($AS$2:$AS$37,MAX(1,A11-'Inputs'!$B$5)),0)</f>
        <v>360000.0</v>
      </c>
      <c r="AU11" s="3">
        <f>'Inputs'!$B$76*(O11*'Inputs'!$B$53+P11*(1-'Inputs'!$B$53)/3+Q11/4)</f>
        <v>73800.0</v>
      </c>
      <c r="AV11" s="3">
        <f>(E11+E10)*('Inputs'!$B$19+'Inputs'!$B$20*'Inputs'!$B$21+'Inputs'!$B$22*'Inputs'!$B$11+'Inputs'!$B$23+'Inputs'!$B$24)/2</f>
        <v>47083.333333333336</v>
      </c>
      <c r="AW11" s="3">
        <f>AU11+X11+Z11+AV11+AC11+AO11</f>
        <v>356133.3333333334</v>
      </c>
      <c r="AX11" s="3">
        <f>AT11-AW11</f>
        <v>3866.666666666628</v>
      </c>
      <c r="AY11" s="3">
        <f>AY10+AX11</f>
        <v>-1365666.666666667</v>
      </c>
      <c r="AZ11" s="3">
        <f>AZ10+AS11-AT11</f>
        <v>860000.0</v>
      </c>
      <c r="BA11" s="3">
        <f>BA10+AQ11+AR11-S11-T11</f>
        <v>888333.3333333335</v>
      </c>
      <c r="BB11" s="3">
        <f>BB10+AU11-W11</f>
        <v>201000.0</v>
      </c>
      <c r="BC11" s="3">
        <f>BC10+AV11-AB11</f>
        <v>47083.33333333333</v>
      </c>
      <c r="BD11" s="3">
        <f>J11*'Inputs'!$B$74</f>
        <v>3000000.0</v>
      </c>
      <c r="BE11" s="3">
        <f>(J11+K11)/'Inputs'!$B$9</f>
        <v>2.5</v>
      </c>
      <c r="BF11" s="3">
        <f>J11*'Inputs'!$B$12</f>
        <v>0.6000000000000001</v>
      </c>
      <c r="BG11" s="3">
        <f>J11*'Inputs'!$B$14</f>
        <v>0.6000000000000001</v>
      </c>
      <c r="BH11" s="3">
        <f>J11*'Inputs'!$B$10/12+E11*'Inputs'!$B$22</f>
        <v>8.166666666666666</v>
      </c>
      <c r="BI11" s="3">
        <f>'Inputs'!$B$6*'Inputs'!$B$7*(F11*('Inputs'!$B$49+'Inputs'!$B$47)+L11*('Inputs'!$B$49+'Inputs'!$B$48))+E11*'Inputs'!$B$46*'Inputs'!$B$18</f>
        <v>4160.0</v>
      </c>
    </row>
    <row r="12" spans="1:61">
      <c r="A12">
        <v>11</v>
      </c>
      <c r="B12" t="s">
        <v>186</v>
      </c>
      <c r="C12">
        <v>1</v>
      </c>
      <c r="D12" s="2">
        <v>1</v>
      </c>
      <c r="E12" s="2">
        <v>0</v>
      </c>
      <c r="F12" s="3">
        <f>IF(A12&gt;'Inputs'!$B$3,INDEX($D$2:$D$37,MAX(1,A12-'Inputs'!$B$3)),0)</f>
        <v>1</v>
      </c>
      <c r="G12" s="3">
        <f>0+0</f>
        <v>0</v>
      </c>
      <c r="H12" s="3">
        <f>G12*(1-'Inputs'!$B$78)</f>
        <v>0.0</v>
      </c>
      <c r="I12" s="3">
        <f>G12-H12</f>
        <v>0.0</v>
      </c>
      <c r="J12" s="3">
        <f>J11+F12-I12</f>
        <v>4.0</v>
      </c>
      <c r="K12" s="3">
        <f>SUM($D$2:D12)-SUM($F$2:F12)</f>
        <v>2</v>
      </c>
      <c r="L12" s="3">
        <f>F9+H9+F6+H6+F3+H3+H12</f>
        <v>0.0</v>
      </c>
      <c r="M12" s="3">
        <f>F12+L12</f>
        <v>1.0</v>
      </c>
      <c r="N12" s="3">
        <f>IF(A12+1&gt;'Inputs'!$B$3,INDEX($D$2:$D$37,MAX(1,A12+1-'Inputs'!$B$3)),0)+F10+H10+F7+H7+F4+H4+(0+0)*(1-'Inputs'!$B$78)</f>
        <v>3.0</v>
      </c>
      <c r="O12" s="3">
        <f>IF(A12+1&gt;'Inputs'!$B$3,INDEX($D$2:$D$37,MAX(1,A12+1-'Inputs'!$B$3)),0)</f>
        <v>1</v>
      </c>
      <c r="P12" s="3">
        <f>F10+F7+F4</f>
        <v>2</v>
      </c>
      <c r="Q12" s="3">
        <f>H10+H7+H4+(0+0)*(1-'Inputs'!$B$78)</f>
        <v>0.0</v>
      </c>
      <c r="R12" s="3">
        <f>IF(A12&gt;'Inputs'!$B$4,INDEX($E$2:$E$37,MAX(1,A12-'Inputs'!$B$4)),0)</f>
        <v>0</v>
      </c>
      <c r="S12" s="3">
        <f>J12*'Inputs'!$B$74/12</f>
        <v>333333.3333333333</v>
      </c>
      <c r="T12" s="3">
        <f>R12*'Inputs'!$B$75</f>
        <v>0</v>
      </c>
      <c r="U12" s="3">
        <f>S12*IF(C12&gt;1,'Inputs'!$B$80,0)</f>
        <v>0.0</v>
      </c>
      <c r="V12" s="3">
        <f>SUM(S12:U12)</f>
        <v>333333.3333333333</v>
      </c>
      <c r="W12" s="3">
        <f>J12*'Inputs'!$B$76/12</f>
        <v>60000.0</v>
      </c>
      <c r="X12" s="3">
        <f>J12*('Inputs'!$B$76*'Inputs'!$B$17+'Inputs'!$B$10*'Inputs'!$B$11+'Inputs'!$B$12*'Inputs'!$B$13+'Inputs'!$B$14*'Inputs'!$B$15+'Inputs'!$B$77+'Inputs'!$B$16)/12</f>
        <v>40333.333333333336</v>
      </c>
      <c r="Y12" s="3">
        <f>MAX(Y11,ROUNDUP((J12+K12)/'Inputs'!$B$9,0))</f>
        <v>3</v>
      </c>
      <c r="Z12" s="3">
        <f>Y12*'Inputs'!$B$8/12</f>
        <v>45000.0</v>
      </c>
      <c r="AA12" s="3">
        <f>W12+X12+Z12</f>
        <v>145333.33333333334</v>
      </c>
      <c r="AB12" s="3">
        <f>R12*('Inputs'!$B$19+'Inputs'!$B$20*'Inputs'!$B$21+'Inputs'!$B$22*'Inputs'!$B$11+'Inputs'!$B$23+'Inputs'!$B$24)</f>
        <v>0.0</v>
      </c>
      <c r="AC12" s="3">
        <f>U12*'Inputs'!$B$26</f>
        <v>0.0</v>
      </c>
      <c r="AD12" s="3">
        <f>AA12+AB12+AC12</f>
        <v>145333.33333333334</v>
      </c>
      <c r="AE12" s="3">
        <f>V12-AD12</f>
        <v>187999.99999999997</v>
      </c>
      <c r="AF12" s="3">
        <f>'Inputs'!$B$27/12</f>
        <v>15000.0</v>
      </c>
      <c r="AG12" s="3">
        <f>'Inputs'!$B$81/12</f>
        <v>75000.0</v>
      </c>
      <c r="AH12" s="3">
        <f>'Inputs'!$B$30/12</f>
        <v>10000.0</v>
      </c>
      <c r="AI12" s="3">
        <f>'Inputs'!$B$33/12</f>
        <v>5000.0</v>
      </c>
      <c r="AJ12" s="3">
        <f>'Inputs'!$B$36/12</f>
        <v>5000.0</v>
      </c>
      <c r="AK12" s="3">
        <f>MAX(1,ROUNDUP((SUM($D$2:$D$13)+0.5*SUM($E$2:$E$13))/'Inputs'!$B$40,0))</f>
        <v>2</v>
      </c>
      <c r="AL12" s="3">
        <f>AK12*'Inputs'!$B$39/12</f>
        <v>30000.0</v>
      </c>
      <c r="AM12" s="3">
        <f>D12*'Inputs'!$B$41+E12*'Inputs'!$B$42</f>
        <v>15000</v>
      </c>
      <c r="AN12" s="3">
        <f>0</f>
        <v>0</v>
      </c>
      <c r="AO12" s="3">
        <f>AF12+AG12+AH12+AI12+AJ12+AL12+AM12+AN12</f>
        <v>155000.0</v>
      </c>
      <c r="AP12" s="3">
        <f>AE12-AO12</f>
        <v>32999.99999999997</v>
      </c>
      <c r="AQ12" s="3">
        <f>(D12+L12)*'Inputs'!$B$74/4</f>
        <v>250000.0</v>
      </c>
      <c r="AR12" s="3">
        <f>(E12*'Inputs'!$B$25+R12*(1-'Inputs'!$B$25))*'Inputs'!$B$75</f>
        <v>0.0</v>
      </c>
      <c r="AS12" s="3">
        <f>AQ12+AR12+U12</f>
        <v>250000.0</v>
      </c>
      <c r="AT12" s="3">
        <f>IF(A12&gt;'Inputs'!$B$5,INDEX($AS$2:$AS$37,MAX(1,A12-'Inputs'!$B$5)),0)</f>
        <v>500000.0</v>
      </c>
      <c r="AU12" s="3">
        <f>'Inputs'!$B$76*(O12*'Inputs'!$B$53+P12*(1-'Inputs'!$B$53)/3+Q12/4)</f>
        <v>144600.0</v>
      </c>
      <c r="AV12" s="3">
        <f>(E12+E11)*('Inputs'!$B$19+'Inputs'!$B$20*'Inputs'!$B$21+'Inputs'!$B$22*'Inputs'!$B$11+'Inputs'!$B$23+'Inputs'!$B$24)/2</f>
        <v>47083.333333333336</v>
      </c>
      <c r="AW12" s="3">
        <f>AU12+X12+Z12+AV12+AC12+AO12</f>
        <v>432016.6666666667</v>
      </c>
      <c r="AX12" s="3">
        <f>AT12-AW12</f>
        <v>67983.33333333331</v>
      </c>
      <c r="AY12" s="3">
        <f>AY11+AX12</f>
        <v>-1297683.3333333337</v>
      </c>
      <c r="AZ12" s="3">
        <f>AZ11+AS12-AT12</f>
        <v>610000.0</v>
      </c>
      <c r="BA12" s="3">
        <f>BA11+AQ12+AR12-S12-T12</f>
        <v>805000.0000000002</v>
      </c>
      <c r="BB12" s="3">
        <f>BB11+AU12-W12</f>
        <v>285600.0</v>
      </c>
      <c r="BC12" s="3">
        <f>BC11+AV12-AB12</f>
        <v>94166.66666666666</v>
      </c>
      <c r="BD12" s="3">
        <f>J12*'Inputs'!$B$74</f>
        <v>4000000.0</v>
      </c>
      <c r="BE12" s="3">
        <f>(J12+K12)/'Inputs'!$B$9</f>
        <v>3.0</v>
      </c>
      <c r="BF12" s="3">
        <f>J12*'Inputs'!$B$12</f>
        <v>0.8</v>
      </c>
      <c r="BG12" s="3">
        <f>J12*'Inputs'!$B$14</f>
        <v>0.8</v>
      </c>
      <c r="BH12" s="3">
        <f>J12*'Inputs'!$B$10/12+E12*'Inputs'!$B$22</f>
        <v>3.3333333333333335</v>
      </c>
      <c r="BI12" s="3">
        <f>'Inputs'!$B$6*'Inputs'!$B$7*(F12*('Inputs'!$B$49+'Inputs'!$B$47)+L12*('Inputs'!$B$49+'Inputs'!$B$48))+E12*'Inputs'!$B$46*'Inputs'!$B$18</f>
        <v>2400.0</v>
      </c>
    </row>
    <row r="13" spans="1:61">
      <c r="A13">
        <v>12</v>
      </c>
      <c r="B13" t="s">
        <v>187</v>
      </c>
      <c r="C13">
        <v>1</v>
      </c>
      <c r="D13" s="2">
        <v>2</v>
      </c>
      <c r="E13" s="2">
        <v>1</v>
      </c>
      <c r="F13" s="3">
        <f>IF(A13&gt;'Inputs'!$B$3,INDEX($D$2:$D$37,MAX(1,A13-'Inputs'!$B$3)),0)</f>
        <v>1</v>
      </c>
      <c r="G13" s="3">
        <f>0+0</f>
        <v>0</v>
      </c>
      <c r="H13" s="3">
        <f>G13*(1-'Inputs'!$B$78)</f>
        <v>0.0</v>
      </c>
      <c r="I13" s="3">
        <f>G13-H13</f>
        <v>0.0</v>
      </c>
      <c r="J13" s="3">
        <f>J12+F13-I13</f>
        <v>5.0</v>
      </c>
      <c r="K13" s="3">
        <f>SUM($D$2:D13)-SUM($F$2:F13)</f>
        <v>3</v>
      </c>
      <c r="L13" s="3">
        <f>F10+H10+F7+H7+F4+H4+H13</f>
        <v>2.0</v>
      </c>
      <c r="M13" s="3">
        <f>F13+L13</f>
        <v>3.0</v>
      </c>
      <c r="N13" s="3">
        <f>IF(A13+1&gt;'Inputs'!$B$3,INDEX($D$2:$D$37,MAX(1,A13+1-'Inputs'!$B$3)),0)+F11+H11+F8+H8+F5+H5+(F2+H2)*(1-'Inputs'!$B$78)</f>
        <v>2.0</v>
      </c>
      <c r="O13" s="3">
        <f>IF(A13+1&gt;'Inputs'!$B$3,INDEX($D$2:$D$37,MAX(1,A13+1-'Inputs'!$B$3)),0)</f>
        <v>1</v>
      </c>
      <c r="P13" s="3">
        <f>F11+F8+F5</f>
        <v>1</v>
      </c>
      <c r="Q13" s="3">
        <f>H11+H8+H5+(F2+H2)*(1-'Inputs'!$B$78)</f>
        <v>0.0</v>
      </c>
      <c r="R13" s="3">
        <f>IF(A13&gt;'Inputs'!$B$4,INDEX($E$2:$E$37,MAX(1,A13-'Inputs'!$B$4)),0)</f>
        <v>1</v>
      </c>
      <c r="S13" s="3">
        <f>J13*'Inputs'!$B$74/12</f>
        <v>416666.6666666667</v>
      </c>
      <c r="T13" s="3">
        <f>R13*'Inputs'!$B$75</f>
        <v>110000</v>
      </c>
      <c r="U13" s="3">
        <f>S13*IF(C13&gt;1,'Inputs'!$B$80,0)</f>
        <v>0.0</v>
      </c>
      <c r="V13" s="3">
        <f>SUM(S13:U13)</f>
        <v>526666.6666666667</v>
      </c>
      <c r="W13" s="3">
        <f>J13*'Inputs'!$B$76/12</f>
        <v>75000.0</v>
      </c>
      <c r="X13" s="3">
        <f>J13*('Inputs'!$B$76*'Inputs'!$B$17+'Inputs'!$B$10*'Inputs'!$B$11+'Inputs'!$B$12*'Inputs'!$B$13+'Inputs'!$B$14*'Inputs'!$B$15+'Inputs'!$B$77+'Inputs'!$B$16)/12</f>
        <v>50416.666666666664</v>
      </c>
      <c r="Y13" s="3">
        <f>MAX(Y12,ROUNDUP((J13+K13)/'Inputs'!$B$9,0))</f>
        <v>4</v>
      </c>
      <c r="Z13" s="3">
        <f>Y13*'Inputs'!$B$8/12</f>
        <v>60000.0</v>
      </c>
      <c r="AA13" s="3">
        <f>W13+X13+Z13</f>
        <v>185416.66666666666</v>
      </c>
      <c r="AB13" s="3">
        <f>R13*('Inputs'!$B$19+'Inputs'!$B$20*'Inputs'!$B$21+'Inputs'!$B$22*'Inputs'!$B$11+'Inputs'!$B$23+'Inputs'!$B$24)</f>
        <v>94166.66666666667</v>
      </c>
      <c r="AC13" s="3">
        <f>U13*'Inputs'!$B$26</f>
        <v>0.0</v>
      </c>
      <c r="AD13" s="3">
        <f>AA13+AB13+AC13</f>
        <v>279583.3333333333</v>
      </c>
      <c r="AE13" s="3">
        <f>V13-AD13</f>
        <v>247083.33333333343</v>
      </c>
      <c r="AF13" s="3">
        <f>'Inputs'!$B$27/12</f>
        <v>15000.0</v>
      </c>
      <c r="AG13" s="3">
        <f>'Inputs'!$B$81/12</f>
        <v>75000.0</v>
      </c>
      <c r="AH13" s="3">
        <f>'Inputs'!$B$30/12</f>
        <v>10000.0</v>
      </c>
      <c r="AI13" s="3">
        <f>'Inputs'!$B$33/12</f>
        <v>5000.0</v>
      </c>
      <c r="AJ13" s="3">
        <f>'Inputs'!$B$36/12</f>
        <v>5000.0</v>
      </c>
      <c r="AK13" s="3">
        <f>MAX(1,ROUNDUP((SUM($D$2:$D$13)+0.5*SUM($E$2:$E$13))/'Inputs'!$B$40,0))</f>
        <v>2</v>
      </c>
      <c r="AL13" s="3">
        <f>AK13*'Inputs'!$B$39/12</f>
        <v>30000.0</v>
      </c>
      <c r="AM13" s="3">
        <f>D13*'Inputs'!$B$41+E13*'Inputs'!$B$42</f>
        <v>35000</v>
      </c>
      <c r="AN13" s="3">
        <f>0</f>
        <v>0</v>
      </c>
      <c r="AO13" s="3">
        <f>AF13+AG13+AH13+AI13+AJ13+AL13+AM13+AN13</f>
        <v>175000.0</v>
      </c>
      <c r="AP13" s="3">
        <f>AE13-AO13</f>
        <v>72083.33333333343</v>
      </c>
      <c r="AQ13" s="3">
        <f>(D13+L13)*'Inputs'!$B$74/4</f>
        <v>1000000.0</v>
      </c>
      <c r="AR13" s="3">
        <f>(E13*'Inputs'!$B$25+R13*(1-'Inputs'!$B$25))*'Inputs'!$B$75</f>
        <v>110000.0</v>
      </c>
      <c r="AS13" s="3">
        <f>AQ13+AR13+U13</f>
        <v>1110000.0</v>
      </c>
      <c r="AT13" s="3">
        <f>IF(A13&gt;'Inputs'!$B$5,INDEX($AS$2:$AS$37,MAX(1,A13-'Inputs'!$B$5)),0)</f>
        <v>360000.0</v>
      </c>
      <c r="AU13" s="3">
        <f>'Inputs'!$B$76*(O13*'Inputs'!$B$53+P13*(1-'Inputs'!$B$53)/3+Q13/4)</f>
        <v>109200.0</v>
      </c>
      <c r="AV13" s="3">
        <f>(E13+E12)*('Inputs'!$B$19+'Inputs'!$B$20*'Inputs'!$B$21+'Inputs'!$B$22*'Inputs'!$B$11+'Inputs'!$B$23+'Inputs'!$B$24)/2</f>
        <v>47083.333333333336</v>
      </c>
      <c r="AW13" s="3">
        <f>AU13+X13+Z13+AV13+AC13+AO13</f>
        <v>441700.0</v>
      </c>
      <c r="AX13" s="3">
        <f>AT13-AW13</f>
        <v>-81700.0</v>
      </c>
      <c r="AY13" s="3">
        <f>AY12+AX13</f>
        <v>-1379383.3333333337</v>
      </c>
      <c r="AZ13" s="3">
        <f>AZ12+AS13-AT13</f>
        <v>1360000.0</v>
      </c>
      <c r="BA13" s="3">
        <f>BA12+AQ13+AR13-S13-T13</f>
        <v>1388333.3333333335</v>
      </c>
      <c r="BB13" s="3">
        <f>BB12+AU13-W13</f>
        <v>319800.0</v>
      </c>
      <c r="BC13" s="3">
        <f>BC12+AV13-AB13</f>
        <v>47083.33333333333</v>
      </c>
      <c r="BD13" s="3">
        <f>J13*'Inputs'!$B$74</f>
        <v>5000000.0</v>
      </c>
      <c r="BE13" s="3">
        <f>(J13+K13)/'Inputs'!$B$9</f>
        <v>4.0</v>
      </c>
      <c r="BF13" s="3">
        <f>J13*'Inputs'!$B$12</f>
        <v>1.0</v>
      </c>
      <c r="BG13" s="3">
        <f>J13*'Inputs'!$B$14</f>
        <v>1.0</v>
      </c>
      <c r="BH13" s="3">
        <f>J13*'Inputs'!$B$10/12+E13*'Inputs'!$B$22</f>
        <v>9.833333333333332</v>
      </c>
      <c r="BI13" s="3">
        <f>'Inputs'!$B$6*'Inputs'!$B$7*(F13*('Inputs'!$B$49+'Inputs'!$B$47)+L13*('Inputs'!$B$49+'Inputs'!$B$48))+E13*'Inputs'!$B$46*'Inputs'!$B$18</f>
        <v>8000.0</v>
      </c>
    </row>
    <row r="14" spans="1:61">
      <c r="A14">
        <v>13</v>
      </c>
      <c r="B14" t="s">
        <v>188</v>
      </c>
      <c r="C14">
        <v>2</v>
      </c>
      <c r="D14" s="2">
        <v>2</v>
      </c>
      <c r="E14" s="2">
        <v>1</v>
      </c>
      <c r="F14" s="3">
        <f>IF(A14&gt;'Inputs'!$B$3,INDEX($D$2:$D$37,MAX(1,A14-'Inputs'!$B$3)),0)</f>
        <v>1</v>
      </c>
      <c r="G14" s="3">
        <f>F2+H2</f>
        <v>0.0</v>
      </c>
      <c r="H14" s="3">
        <f>G14*(1-'Inputs'!$B$78)</f>
        <v>0.0</v>
      </c>
      <c r="I14" s="3">
        <f>G14-H14</f>
        <v>0.0</v>
      </c>
      <c r="J14" s="3">
        <f>J13+F14-I14</f>
        <v>6.0</v>
      </c>
      <c r="K14" s="3">
        <f>SUM($D$2:D14)-SUM($F$2:F14)</f>
        <v>4</v>
      </c>
      <c r="L14" s="3">
        <f>F11+H11+F8+H8+F5+H5+H14</f>
        <v>1.0</v>
      </c>
      <c r="M14" s="3">
        <f>F14+L14</f>
        <v>2.0</v>
      </c>
      <c r="N14" s="3">
        <f>IF(A14+1&gt;'Inputs'!$B$3,INDEX($D$2:$D$37,MAX(1,A14+1-'Inputs'!$B$3)),0)+F12+H12+F9+H9+F6+H6+(F3+H3)*(1-'Inputs'!$B$78)</f>
        <v>3.0</v>
      </c>
      <c r="O14" s="3">
        <f>IF(A14+1&gt;'Inputs'!$B$3,INDEX($D$2:$D$37,MAX(1,A14+1-'Inputs'!$B$3)),0)</f>
        <v>2</v>
      </c>
      <c r="P14" s="3">
        <f>F12+F9+F6</f>
        <v>1</v>
      </c>
      <c r="Q14" s="3">
        <f>H12+H9+H6+(F3+H3)*(1-'Inputs'!$B$78)</f>
        <v>0.0</v>
      </c>
      <c r="R14" s="3">
        <f>IF(A14&gt;'Inputs'!$B$4,INDEX($E$2:$E$37,MAX(1,A14-'Inputs'!$B$4)),0)</f>
        <v>0</v>
      </c>
      <c r="S14" s="3">
        <f>J14*'Inputs'!$B$74/12</f>
        <v>500000.0</v>
      </c>
      <c r="T14" s="3">
        <f>R14*'Inputs'!$B$75</f>
        <v>0</v>
      </c>
      <c r="U14" s="3">
        <f>S14*IF(C14&gt;1,'Inputs'!$B$80,0)</f>
        <v>125000.0</v>
      </c>
      <c r="V14" s="3">
        <f>SUM(S14:U14)</f>
        <v>625000.0</v>
      </c>
      <c r="W14" s="3">
        <f>J14*'Inputs'!$B$76/12</f>
        <v>90000.0</v>
      </c>
      <c r="X14" s="3">
        <f>J14*('Inputs'!$B$76*'Inputs'!$B$17+'Inputs'!$B$10*'Inputs'!$B$11+'Inputs'!$B$12*'Inputs'!$B$13+'Inputs'!$B$14*'Inputs'!$B$15+'Inputs'!$B$77+'Inputs'!$B$16)/12</f>
        <v>60500.0</v>
      </c>
      <c r="Y14" s="3">
        <f>MAX(Y13,ROUNDUP((J14+K14)/'Inputs'!$B$9,0))</f>
        <v>5</v>
      </c>
      <c r="Z14" s="3">
        <f>Y14*'Inputs'!$B$8/12</f>
        <v>75000.0</v>
      </c>
      <c r="AA14" s="3">
        <f>W14+X14+Z14</f>
        <v>225500.0</v>
      </c>
      <c r="AB14" s="3">
        <f>R14*('Inputs'!$B$19+'Inputs'!$B$20*'Inputs'!$B$21+'Inputs'!$B$22*'Inputs'!$B$11+'Inputs'!$B$23+'Inputs'!$B$24)</f>
        <v>0.0</v>
      </c>
      <c r="AC14" s="3">
        <f>U14*'Inputs'!$B$26</f>
        <v>31250.0</v>
      </c>
      <c r="AD14" s="3">
        <f>AA14+AB14+AC14</f>
        <v>256750.0</v>
      </c>
      <c r="AE14" s="3">
        <f>V14-AD14</f>
        <v>368250.0</v>
      </c>
      <c r="AF14" s="3">
        <f>'Inputs'!$B$28/12</f>
        <v>16500.0</v>
      </c>
      <c r="AG14" s="3">
        <f>'Inputs'!$B$82/12</f>
        <v>100000.0</v>
      </c>
      <c r="AH14" s="3">
        <f>'Inputs'!$B$31/12</f>
        <v>15000.0</v>
      </c>
      <c r="AI14" s="3">
        <f>'Inputs'!$B$34/12</f>
        <v>6666.666666666667</v>
      </c>
      <c r="AJ14" s="3">
        <f>'Inputs'!$B$37/12</f>
        <v>7500.0</v>
      </c>
      <c r="AK14" s="3">
        <f>MAX(1,ROUNDUP((SUM($D$14:$D$25)+0.5*SUM($E$14:$E$25))/'Inputs'!$B$40,0))</f>
        <v>4</v>
      </c>
      <c r="AL14" s="3">
        <f>AK14*'Inputs'!$B$39/12</f>
        <v>60000.0</v>
      </c>
      <c r="AM14" s="3">
        <f>D14*'Inputs'!$B$41+E14*'Inputs'!$B$42</f>
        <v>35000</v>
      </c>
      <c r="AN14" s="3">
        <f>0</f>
        <v>0</v>
      </c>
      <c r="AO14" s="3">
        <f>AF14+AG14+AH14+AI14+AJ14+AL14+AM14+AN14</f>
        <v>240666.66666666666</v>
      </c>
      <c r="AP14" s="3">
        <f>AE14-AO14</f>
        <v>127583.33333333334</v>
      </c>
      <c r="AQ14" s="3">
        <f>(D14+L14)*'Inputs'!$B$74/4</f>
        <v>750000.0</v>
      </c>
      <c r="AR14" s="3">
        <f>(E14*'Inputs'!$B$25+R14*(1-'Inputs'!$B$25))*'Inputs'!$B$75</f>
        <v>55000.0</v>
      </c>
      <c r="AS14" s="3">
        <f>AQ14+AR14+U14</f>
        <v>930000.0</v>
      </c>
      <c r="AT14" s="3">
        <f>IF(A14&gt;'Inputs'!$B$5,INDEX($AS$2:$AS$37,MAX(1,A14-'Inputs'!$B$5)),0)</f>
        <v>250000.0</v>
      </c>
      <c r="AU14" s="3">
        <f>'Inputs'!$B$76*(O14*'Inputs'!$B$53+P14*(1-'Inputs'!$B$53)/3+Q14/4)</f>
        <v>183000.0</v>
      </c>
      <c r="AV14" s="3">
        <f>(E14+E13)*('Inputs'!$B$19+'Inputs'!$B$20*'Inputs'!$B$21+'Inputs'!$B$22*'Inputs'!$B$11+'Inputs'!$B$23+'Inputs'!$B$24)/2</f>
        <v>94166.66666666667</v>
      </c>
      <c r="AW14" s="3">
        <f>AU14+X14+Z14+AV14+AC14+AO14</f>
        <v>684583.3333333334</v>
      </c>
      <c r="AX14" s="3">
        <f>AT14-AW14</f>
        <v>-434583.3333333334</v>
      </c>
      <c r="AY14" s="3">
        <f>AY13+AX14</f>
        <v>-1813966.666666667</v>
      </c>
      <c r="AZ14" s="3">
        <f>AZ13+AS14-AT14</f>
        <v>2040000.0</v>
      </c>
      <c r="BA14" s="3">
        <f>BA13+AQ14+AR14-S14-T14</f>
        <v>1693333.3333333335</v>
      </c>
      <c r="BB14" s="3">
        <f>BB13+AU14-W14</f>
        <v>412800.0</v>
      </c>
      <c r="BC14" s="3">
        <f>BC13+AV14-AB14</f>
        <v>141250.0</v>
      </c>
      <c r="BD14" s="3">
        <f>J14*'Inputs'!$B$74</f>
        <v>6000000.0</v>
      </c>
      <c r="BE14" s="3">
        <f>(J14+K14)/'Inputs'!$B$9</f>
        <v>5.0</v>
      </c>
      <c r="BF14" s="3">
        <f>J14*'Inputs'!$B$12</f>
        <v>1.2000000000000002</v>
      </c>
      <c r="BG14" s="3">
        <f>J14*'Inputs'!$B$14</f>
        <v>1.2000000000000002</v>
      </c>
      <c r="BH14" s="3">
        <f>J14*'Inputs'!$B$10/12+E14*'Inputs'!$B$22</f>
        <v>10.666666666666666</v>
      </c>
      <c r="BI14" s="3">
        <f>'Inputs'!$B$6*'Inputs'!$B$7*(F14*('Inputs'!$B$49+'Inputs'!$B$47)+L14*('Inputs'!$B$49+'Inputs'!$B$48))+E14*'Inputs'!$B$46*'Inputs'!$B$18</f>
        <v>6080.0</v>
      </c>
    </row>
    <row r="15" spans="1:61">
      <c r="A15">
        <v>14</v>
      </c>
      <c r="B15" t="s">
        <v>189</v>
      </c>
      <c r="C15">
        <v>2</v>
      </c>
      <c r="D15" s="2">
        <v>2</v>
      </c>
      <c r="E15" s="2">
        <v>1</v>
      </c>
      <c r="F15" s="3">
        <f>IF(A15&gt;'Inputs'!$B$3,INDEX($D$2:$D$37,MAX(1,A15-'Inputs'!$B$3)),0)</f>
        <v>2</v>
      </c>
      <c r="G15" s="3">
        <f>F3+H3</f>
        <v>0.0</v>
      </c>
      <c r="H15" s="3">
        <f>G15*(1-'Inputs'!$B$78)</f>
        <v>0.0</v>
      </c>
      <c r="I15" s="3">
        <f>G15-H15</f>
        <v>0.0</v>
      </c>
      <c r="J15" s="3">
        <f>J14+F15-I15</f>
        <v>8.0</v>
      </c>
      <c r="K15" s="3">
        <f>SUM($D$2:D15)-SUM($F$2:F15)</f>
        <v>4</v>
      </c>
      <c r="L15" s="3">
        <f>F12+H12+F9+H9+F6+H6+H15</f>
        <v>1.0</v>
      </c>
      <c r="M15" s="3">
        <f>F15+L15</f>
        <v>3.0</v>
      </c>
      <c r="N15" s="3">
        <f>IF(A15+1&gt;'Inputs'!$B$3,INDEX($D$2:$D$37,MAX(1,A15+1-'Inputs'!$B$3)),0)+F13+H13+F10+H10+F7+H7+(F4+H4)*(1-'Inputs'!$B$78)</f>
        <v>4.9</v>
      </c>
      <c r="O15" s="3">
        <f>IF(A15+1&gt;'Inputs'!$B$3,INDEX($D$2:$D$37,MAX(1,A15+1-'Inputs'!$B$3)),0)</f>
        <v>2</v>
      </c>
      <c r="P15" s="3">
        <f>F13+F10+F7</f>
        <v>2</v>
      </c>
      <c r="Q15" s="3">
        <f>H13+H10+H7+(F4+H4)*(1-'Inputs'!$B$78)</f>
        <v>0.9</v>
      </c>
      <c r="R15" s="3">
        <f>IF(A15&gt;'Inputs'!$B$4,INDEX($E$2:$E$37,MAX(1,A15-'Inputs'!$B$4)),0)</f>
        <v>1</v>
      </c>
      <c r="S15" s="3">
        <f>J15*'Inputs'!$B$74/12</f>
        <v>666666.6666666666</v>
      </c>
      <c r="T15" s="3">
        <f>R15*'Inputs'!$B$75</f>
        <v>110000</v>
      </c>
      <c r="U15" s="3">
        <f>S15*IF(C15&gt;1,'Inputs'!$B$80,0)</f>
        <v>166666.66666666666</v>
      </c>
      <c r="V15" s="3">
        <f>SUM(S15:U15)</f>
        <v>943333.3333333333</v>
      </c>
      <c r="W15" s="3">
        <f>J15*'Inputs'!$B$76/12</f>
        <v>120000.0</v>
      </c>
      <c r="X15" s="3">
        <f>J15*('Inputs'!$B$76*'Inputs'!$B$17+'Inputs'!$B$10*'Inputs'!$B$11+'Inputs'!$B$12*'Inputs'!$B$13+'Inputs'!$B$14*'Inputs'!$B$15+'Inputs'!$B$77+'Inputs'!$B$16)/12</f>
        <v>80666.66666666667</v>
      </c>
      <c r="Y15" s="3">
        <f>MAX(Y14,ROUNDUP((J15+K15)/'Inputs'!$B$9,0))</f>
        <v>6</v>
      </c>
      <c r="Z15" s="3">
        <f>Y15*'Inputs'!$B$8/12</f>
        <v>90000.0</v>
      </c>
      <c r="AA15" s="3">
        <f>W15+X15+Z15</f>
        <v>290666.6666666667</v>
      </c>
      <c r="AB15" s="3">
        <f>R15*('Inputs'!$B$19+'Inputs'!$B$20*'Inputs'!$B$21+'Inputs'!$B$22*'Inputs'!$B$11+'Inputs'!$B$23+'Inputs'!$B$24)</f>
        <v>94166.66666666667</v>
      </c>
      <c r="AC15" s="3">
        <f>U15*'Inputs'!$B$26</f>
        <v>41666.666666666664</v>
      </c>
      <c r="AD15" s="3">
        <f>AA15+AB15+AC15</f>
        <v>426500.00000000006</v>
      </c>
      <c r="AE15" s="3">
        <f>V15-AD15</f>
        <v>516833.3333333332</v>
      </c>
      <c r="AF15" s="3">
        <f>'Inputs'!$B$28/12</f>
        <v>16500.0</v>
      </c>
      <c r="AG15" s="3">
        <f>'Inputs'!$B$82/12</f>
        <v>100000.0</v>
      </c>
      <c r="AH15" s="3">
        <f>'Inputs'!$B$31/12</f>
        <v>15000.0</v>
      </c>
      <c r="AI15" s="3">
        <f>'Inputs'!$B$34/12</f>
        <v>6666.666666666667</v>
      </c>
      <c r="AJ15" s="3">
        <f>'Inputs'!$B$37/12</f>
        <v>7500.0</v>
      </c>
      <c r="AK15" s="3">
        <f>MAX(1,ROUNDUP((SUM($D$14:$D$25)+0.5*SUM($E$14:$E$25))/'Inputs'!$B$40,0))</f>
        <v>4</v>
      </c>
      <c r="AL15" s="3">
        <f>AK15*'Inputs'!$B$39/12</f>
        <v>60000.0</v>
      </c>
      <c r="AM15" s="3">
        <f>D15*'Inputs'!$B$41+E15*'Inputs'!$B$42</f>
        <v>35000</v>
      </c>
      <c r="AN15" s="3">
        <f>0</f>
        <v>0</v>
      </c>
      <c r="AO15" s="3">
        <f>AF15+AG15+AH15+AI15+AJ15+AL15+AM15+AN15</f>
        <v>240666.66666666666</v>
      </c>
      <c r="AP15" s="3">
        <f>AE15-AO15</f>
        <v>276166.6666666665</v>
      </c>
      <c r="AQ15" s="3">
        <f>(D15+L15)*'Inputs'!$B$74/4</f>
        <v>750000.0</v>
      </c>
      <c r="AR15" s="3">
        <f>(E15*'Inputs'!$B$25+R15*(1-'Inputs'!$B$25))*'Inputs'!$B$75</f>
        <v>110000.0</v>
      </c>
      <c r="AS15" s="3">
        <f>AQ15+AR15+U15</f>
        <v>1026666.6666666666</v>
      </c>
      <c r="AT15" s="3">
        <f>IF(A15&gt;'Inputs'!$B$5,INDEX($AS$2:$AS$37,MAX(1,A15-'Inputs'!$B$5)),0)</f>
        <v>1110000.0</v>
      </c>
      <c r="AU15" s="3">
        <f>'Inputs'!$B$76*(O15*'Inputs'!$B$53+P15*(1-'Inputs'!$B$53)/3+Q15/4)</f>
        <v>258900.00000000003</v>
      </c>
      <c r="AV15" s="3">
        <f>(E15+E14)*('Inputs'!$B$19+'Inputs'!$B$20*'Inputs'!$B$21+'Inputs'!$B$22*'Inputs'!$B$11+'Inputs'!$B$23+'Inputs'!$B$24)/2</f>
        <v>94166.66666666667</v>
      </c>
      <c r="AW15" s="3">
        <f>AU15+X15+Z15+AV15+AC15+AO15</f>
        <v>806066.6666666666</v>
      </c>
      <c r="AX15" s="3">
        <f>AT15-AW15</f>
        <v>303933.3333333334</v>
      </c>
      <c r="AY15" s="3">
        <f>AY14+AX15</f>
        <v>-1510033.3333333335</v>
      </c>
      <c r="AZ15" s="3">
        <f>AZ14+AS15-AT15</f>
        <v>1956666.6666666665</v>
      </c>
      <c r="BA15" s="3">
        <f>BA14+AQ15+AR15-S15-T15</f>
        <v>1776666.666666667</v>
      </c>
      <c r="BB15" s="3">
        <f>BB14+AU15-W15</f>
        <v>551700.0</v>
      </c>
      <c r="BC15" s="3">
        <f>BC14+AV15-AB15</f>
        <v>141250.0</v>
      </c>
      <c r="BD15" s="3">
        <f>J15*'Inputs'!$B$74</f>
        <v>8000000.0</v>
      </c>
      <c r="BE15" s="3">
        <f>(J15+K15)/'Inputs'!$B$9</f>
        <v>6.0</v>
      </c>
      <c r="BF15" s="3">
        <f>J15*'Inputs'!$B$12</f>
        <v>1.6</v>
      </c>
      <c r="BG15" s="3">
        <f>J15*'Inputs'!$B$14</f>
        <v>1.6</v>
      </c>
      <c r="BH15" s="3">
        <f>J15*'Inputs'!$B$10/12+E15*'Inputs'!$B$22</f>
        <v>12.333333333333332</v>
      </c>
      <c r="BI15" s="3">
        <f>'Inputs'!$B$6*'Inputs'!$B$7*(F15*('Inputs'!$B$49+'Inputs'!$B$47)+L15*('Inputs'!$B$49+'Inputs'!$B$48))+E15*'Inputs'!$B$46*'Inputs'!$B$18</f>
        <v>8480.0</v>
      </c>
    </row>
    <row r="16" spans="1:61">
      <c r="A16">
        <v>15</v>
      </c>
      <c r="B16" t="s">
        <v>190</v>
      </c>
      <c r="C16">
        <v>2</v>
      </c>
      <c r="D16" s="2">
        <v>2</v>
      </c>
      <c r="E16" s="2">
        <v>1</v>
      </c>
      <c r="F16" s="3">
        <f>IF(A16&gt;'Inputs'!$B$3,INDEX($D$2:$D$37,MAX(1,A16-'Inputs'!$B$3)),0)</f>
        <v>2</v>
      </c>
      <c r="G16" s="3">
        <f>F4+H4</f>
        <v>1.0</v>
      </c>
      <c r="H16" s="3">
        <f>G16*(1-'Inputs'!$B$78)</f>
        <v>0.9</v>
      </c>
      <c r="I16" s="3">
        <f>G16-H16</f>
        <v>0.09999999999999998</v>
      </c>
      <c r="J16" s="3">
        <f>J15+F16-I16</f>
        <v>9.9</v>
      </c>
      <c r="K16" s="3">
        <f>SUM($D$2:D16)-SUM($F$2:F16)</f>
        <v>4</v>
      </c>
      <c r="L16" s="3">
        <f>F13+H13+F10+H10+F7+H7+H16</f>
        <v>2.9</v>
      </c>
      <c r="M16" s="3">
        <f>F16+L16</f>
        <v>4.9</v>
      </c>
      <c r="N16" s="3">
        <f>IF(A16+1&gt;'Inputs'!$B$3,INDEX($D$2:$D$37,MAX(1,A16+1-'Inputs'!$B$3)),0)+F14+H14+F11+H11+F8+H8+(F5+H5)*(1-'Inputs'!$B$78)</f>
        <v>4.0</v>
      </c>
      <c r="O16" s="3">
        <f>IF(A16+1&gt;'Inputs'!$B$3,INDEX($D$2:$D$37,MAX(1,A16+1-'Inputs'!$B$3)),0)</f>
        <v>2</v>
      </c>
      <c r="P16" s="3">
        <f>F14+F11+F8</f>
        <v>2</v>
      </c>
      <c r="Q16" s="3">
        <f>H14+H11+H8+(F5+H5)*(1-'Inputs'!$B$78)</f>
        <v>0.0</v>
      </c>
      <c r="R16" s="3">
        <f>IF(A16&gt;'Inputs'!$B$4,INDEX($E$2:$E$37,MAX(1,A16-'Inputs'!$B$4)),0)</f>
        <v>1</v>
      </c>
      <c r="S16" s="3">
        <f>J16*'Inputs'!$B$74/12</f>
        <v>825000.0</v>
      </c>
      <c r="T16" s="3">
        <f>R16*'Inputs'!$B$75</f>
        <v>110000</v>
      </c>
      <c r="U16" s="3">
        <f>S16*IF(C16&gt;1,'Inputs'!$B$80,0)</f>
        <v>206250.0</v>
      </c>
      <c r="V16" s="3">
        <f>SUM(S16:U16)</f>
        <v>1141250.0</v>
      </c>
      <c r="W16" s="3">
        <f>J16*'Inputs'!$B$76/12</f>
        <v>148500.0</v>
      </c>
      <c r="X16" s="3">
        <f>J16*('Inputs'!$B$76*'Inputs'!$B$17+'Inputs'!$B$10*'Inputs'!$B$11+'Inputs'!$B$12*'Inputs'!$B$13+'Inputs'!$B$14*'Inputs'!$B$15+'Inputs'!$B$77+'Inputs'!$B$16)/12</f>
        <v>99825.0</v>
      </c>
      <c r="Y16" s="3">
        <f>MAX(Y15,ROUNDUP((J16+K16)/'Inputs'!$B$9,0))</f>
        <v>7</v>
      </c>
      <c r="Z16" s="3">
        <f>Y16*'Inputs'!$B$8/12</f>
        <v>105000.0</v>
      </c>
      <c r="AA16" s="3">
        <f>W16+X16+Z16</f>
        <v>353325.0</v>
      </c>
      <c r="AB16" s="3">
        <f>R16*('Inputs'!$B$19+'Inputs'!$B$20*'Inputs'!$B$21+'Inputs'!$B$22*'Inputs'!$B$11+'Inputs'!$B$23+'Inputs'!$B$24)</f>
        <v>94166.66666666667</v>
      </c>
      <c r="AC16" s="3">
        <f>U16*'Inputs'!$B$26</f>
        <v>51562.5</v>
      </c>
      <c r="AD16" s="3">
        <f>AA16+AB16+AC16</f>
        <v>499054.1666666667</v>
      </c>
      <c r="AE16" s="3">
        <f>V16-AD16</f>
        <v>642195.8333333333</v>
      </c>
      <c r="AF16" s="3">
        <f>'Inputs'!$B$28/12</f>
        <v>16500.0</v>
      </c>
      <c r="AG16" s="3">
        <f>'Inputs'!$B$82/12</f>
        <v>100000.0</v>
      </c>
      <c r="AH16" s="3">
        <f>'Inputs'!$B$31/12</f>
        <v>15000.0</v>
      </c>
      <c r="AI16" s="3">
        <f>'Inputs'!$B$34/12</f>
        <v>6666.666666666667</v>
      </c>
      <c r="AJ16" s="3">
        <f>'Inputs'!$B$37/12</f>
        <v>7500.0</v>
      </c>
      <c r="AK16" s="3">
        <f>MAX(1,ROUNDUP((SUM($D$14:$D$25)+0.5*SUM($E$14:$E$25))/'Inputs'!$B$40,0))</f>
        <v>4</v>
      </c>
      <c r="AL16" s="3">
        <f>AK16*'Inputs'!$B$39/12</f>
        <v>60000.0</v>
      </c>
      <c r="AM16" s="3">
        <f>D16*'Inputs'!$B$41+E16*'Inputs'!$B$42</f>
        <v>35000</v>
      </c>
      <c r="AN16" s="3">
        <f>0</f>
        <v>0</v>
      </c>
      <c r="AO16" s="3">
        <f>AF16+AG16+AH16+AI16+AJ16+AL16+AM16+AN16</f>
        <v>240666.66666666666</v>
      </c>
      <c r="AP16" s="3">
        <f>AE16-AO16</f>
        <v>401529.1666666666</v>
      </c>
      <c r="AQ16" s="3">
        <f>(D16+L16)*'Inputs'!$B$74/4</f>
        <v>1225000.0</v>
      </c>
      <c r="AR16" s="3">
        <f>(E16*'Inputs'!$B$25+R16*(1-'Inputs'!$B$25))*'Inputs'!$B$75</f>
        <v>110000.0</v>
      </c>
      <c r="AS16" s="3">
        <f>AQ16+AR16+U16</f>
        <v>1541250.0</v>
      </c>
      <c r="AT16" s="3">
        <f>IF(A16&gt;'Inputs'!$B$5,INDEX($AS$2:$AS$37,MAX(1,A16-'Inputs'!$B$5)),0)</f>
        <v>930000.0</v>
      </c>
      <c r="AU16" s="3">
        <f>'Inputs'!$B$76*(O16*'Inputs'!$B$53+P16*(1-'Inputs'!$B$53)/3+Q16/4)</f>
        <v>218400.0</v>
      </c>
      <c r="AV16" s="3">
        <f>(E16+E15)*('Inputs'!$B$19+'Inputs'!$B$20*'Inputs'!$B$21+'Inputs'!$B$22*'Inputs'!$B$11+'Inputs'!$B$23+'Inputs'!$B$24)/2</f>
        <v>94166.66666666667</v>
      </c>
      <c r="AW16" s="3">
        <f>AU16+X16+Z16+AV16+AC16+AO16</f>
        <v>809620.8333333334</v>
      </c>
      <c r="AX16" s="3">
        <f>AT16-AW16</f>
        <v>120379.16666666663</v>
      </c>
      <c r="AY16" s="3">
        <f>AY15+AX16</f>
        <v>-1389654.166666667</v>
      </c>
      <c r="AZ16" s="3">
        <f>AZ15+AS16-AT16</f>
        <v>2567916.6666666665</v>
      </c>
      <c r="BA16" s="3">
        <f>BA15+AQ16+AR16-S16-T16</f>
        <v>2176666.666666667</v>
      </c>
      <c r="BB16" s="3">
        <f>BB15+AU16-W16</f>
        <v>621600.0</v>
      </c>
      <c r="BC16" s="3">
        <f>BC15+AV16-AB16</f>
        <v>141250.0</v>
      </c>
      <c r="BD16" s="3">
        <f>J16*'Inputs'!$B$74</f>
        <v>9900000.0</v>
      </c>
      <c r="BE16" s="3">
        <f>(J16+K16)/'Inputs'!$B$9</f>
        <v>6.95</v>
      </c>
      <c r="BF16" s="3">
        <f>J16*'Inputs'!$B$12</f>
        <v>1.9800000000000002</v>
      </c>
      <c r="BG16" s="3">
        <f>J16*'Inputs'!$B$14</f>
        <v>1.9800000000000002</v>
      </c>
      <c r="BH16" s="3">
        <f>J16*'Inputs'!$B$10/12+E16*'Inputs'!$B$22</f>
        <v>13.916666666666666</v>
      </c>
      <c r="BI16" s="3">
        <f>'Inputs'!$B$6*'Inputs'!$B$7*(F16*('Inputs'!$B$49+'Inputs'!$B$47)+L16*('Inputs'!$B$49+'Inputs'!$B$48))+E16*'Inputs'!$B$46*'Inputs'!$B$18</f>
        <v>12128.0</v>
      </c>
    </row>
    <row r="17" spans="1:61">
      <c r="A17">
        <v>16</v>
      </c>
      <c r="B17" t="s">
        <v>191</v>
      </c>
      <c r="C17">
        <v>2</v>
      </c>
      <c r="D17" s="2">
        <v>2</v>
      </c>
      <c r="E17" s="2">
        <v>1</v>
      </c>
      <c r="F17" s="3">
        <f>IF(A17&gt;'Inputs'!$B$3,INDEX($D$2:$D$37,MAX(1,A17-'Inputs'!$B$3)),0)</f>
        <v>2</v>
      </c>
      <c r="G17" s="3">
        <f>F5+H5</f>
        <v>0.0</v>
      </c>
      <c r="H17" s="3">
        <f>G17*(1-'Inputs'!$B$78)</f>
        <v>0.0</v>
      </c>
      <c r="I17" s="3">
        <f>G17-H17</f>
        <v>0.0</v>
      </c>
      <c r="J17" s="3">
        <f>J16+F17-I17</f>
        <v>11.9</v>
      </c>
      <c r="K17" s="3">
        <f>SUM($D$2:D17)-SUM($F$2:F17)</f>
        <v>4</v>
      </c>
      <c r="L17" s="3">
        <f>F14+H14+F11+H11+F8+H8+H17</f>
        <v>2.0</v>
      </c>
      <c r="M17" s="3">
        <f>F17+L17</f>
        <v>4.0</v>
      </c>
      <c r="N17" s="3">
        <f>IF(A17+1&gt;'Inputs'!$B$3,INDEX($D$2:$D$37,MAX(1,A17+1-'Inputs'!$B$3)),0)+F15+H15+F12+H12+F9+H9+(F6+H6)*(1-'Inputs'!$B$78)</f>
        <v>5.0</v>
      </c>
      <c r="O17" s="3">
        <f>IF(A17+1&gt;'Inputs'!$B$3,INDEX($D$2:$D$37,MAX(1,A17+1-'Inputs'!$B$3)),0)</f>
        <v>2</v>
      </c>
      <c r="P17" s="3">
        <f>F15+F12+F9</f>
        <v>3</v>
      </c>
      <c r="Q17" s="3">
        <f>H15+H12+H9+(F6+H6)*(1-'Inputs'!$B$78)</f>
        <v>0.0</v>
      </c>
      <c r="R17" s="3">
        <f>IF(A17&gt;'Inputs'!$B$4,INDEX($E$2:$E$37,MAX(1,A17-'Inputs'!$B$4)),0)</f>
        <v>1</v>
      </c>
      <c r="S17" s="3">
        <f>J17*'Inputs'!$B$74/12</f>
        <v>991666.6666666666</v>
      </c>
      <c r="T17" s="3">
        <f>R17*'Inputs'!$B$75</f>
        <v>110000</v>
      </c>
      <c r="U17" s="3">
        <f>S17*IF(C17&gt;1,'Inputs'!$B$80,0)</f>
        <v>247916.66666666666</v>
      </c>
      <c r="V17" s="3">
        <f>SUM(S17:U17)</f>
        <v>1349583.3333333333</v>
      </c>
      <c r="W17" s="3">
        <f>J17*'Inputs'!$B$76/12</f>
        <v>178500.0</v>
      </c>
      <c r="X17" s="3">
        <f>J17*('Inputs'!$B$76*'Inputs'!$B$17+'Inputs'!$B$10*'Inputs'!$B$11+'Inputs'!$B$12*'Inputs'!$B$13+'Inputs'!$B$14*'Inputs'!$B$15+'Inputs'!$B$77+'Inputs'!$B$16)/12</f>
        <v>119991.66666666667</v>
      </c>
      <c r="Y17" s="3">
        <f>MAX(Y16,ROUNDUP((J17+K17)/'Inputs'!$B$9,0))</f>
        <v>8</v>
      </c>
      <c r="Z17" s="3">
        <f>Y17*'Inputs'!$B$8/12</f>
        <v>120000.0</v>
      </c>
      <c r="AA17" s="3">
        <f>W17+X17+Z17</f>
        <v>418491.6666666667</v>
      </c>
      <c r="AB17" s="3">
        <f>R17*('Inputs'!$B$19+'Inputs'!$B$20*'Inputs'!$B$21+'Inputs'!$B$22*'Inputs'!$B$11+'Inputs'!$B$23+'Inputs'!$B$24)</f>
        <v>94166.66666666667</v>
      </c>
      <c r="AC17" s="3">
        <f>U17*'Inputs'!$B$26</f>
        <v>61979.166666666664</v>
      </c>
      <c r="AD17" s="3">
        <f>AA17+AB17+AC17</f>
        <v>574637.5</v>
      </c>
      <c r="AE17" s="3">
        <f>V17-AD17</f>
        <v>774945.8333333333</v>
      </c>
      <c r="AF17" s="3">
        <f>'Inputs'!$B$28/12</f>
        <v>16500.0</v>
      </c>
      <c r="AG17" s="3">
        <f>'Inputs'!$B$82/12</f>
        <v>100000.0</v>
      </c>
      <c r="AH17" s="3">
        <f>'Inputs'!$B$31/12</f>
        <v>15000.0</v>
      </c>
      <c r="AI17" s="3">
        <f>'Inputs'!$B$34/12</f>
        <v>6666.666666666667</v>
      </c>
      <c r="AJ17" s="3">
        <f>'Inputs'!$B$37/12</f>
        <v>7500.0</v>
      </c>
      <c r="AK17" s="3">
        <f>MAX(1,ROUNDUP((SUM($D$14:$D$25)+0.5*SUM($E$14:$E$25))/'Inputs'!$B$40,0))</f>
        <v>4</v>
      </c>
      <c r="AL17" s="3">
        <f>AK17*'Inputs'!$B$39/12</f>
        <v>60000.0</v>
      </c>
      <c r="AM17" s="3">
        <f>D17*'Inputs'!$B$41+E17*'Inputs'!$B$42</f>
        <v>35000</v>
      </c>
      <c r="AN17" s="3">
        <f>0</f>
        <v>0</v>
      </c>
      <c r="AO17" s="3">
        <f>AF17+AG17+AH17+AI17+AJ17+AL17+AM17+AN17</f>
        <v>240666.66666666666</v>
      </c>
      <c r="AP17" s="3">
        <f>AE17-AO17</f>
        <v>534279.1666666666</v>
      </c>
      <c r="AQ17" s="3">
        <f>(D17+L17)*'Inputs'!$B$74/4</f>
        <v>1000000.0</v>
      </c>
      <c r="AR17" s="3">
        <f>(E17*'Inputs'!$B$25+R17*(1-'Inputs'!$B$25))*'Inputs'!$B$75</f>
        <v>110000.0</v>
      </c>
      <c r="AS17" s="3">
        <f>AQ17+AR17+U17</f>
        <v>1357916.6666666667</v>
      </c>
      <c r="AT17" s="3">
        <f>IF(A17&gt;'Inputs'!$B$5,INDEX($AS$2:$AS$37,MAX(1,A17-'Inputs'!$B$5)),0)</f>
        <v>1026666.6666666666</v>
      </c>
      <c r="AU17" s="3">
        <f>'Inputs'!$B$76*(O17*'Inputs'!$B$53+P17*(1-'Inputs'!$B$53)/3+Q17/4)</f>
        <v>253800.00000000003</v>
      </c>
      <c r="AV17" s="3">
        <f>(E17+E16)*('Inputs'!$B$19+'Inputs'!$B$20*'Inputs'!$B$21+'Inputs'!$B$22*'Inputs'!$B$11+'Inputs'!$B$23+'Inputs'!$B$24)/2</f>
        <v>94166.66666666667</v>
      </c>
      <c r="AW17" s="3">
        <f>AU17+X17+Z17+AV17+AC17+AO17</f>
        <v>890604.1666666666</v>
      </c>
      <c r="AX17" s="3">
        <f>AT17-AW17</f>
        <v>136062.5</v>
      </c>
      <c r="AY17" s="3">
        <f>AY16+AX17</f>
        <v>-1253591.666666667</v>
      </c>
      <c r="AZ17" s="3">
        <f>AZ16+AS17-AT17</f>
        <v>2899166.6666666665</v>
      </c>
      <c r="BA17" s="3">
        <f>BA16+AQ17+AR17-S17-T17</f>
        <v>2185000.0000000005</v>
      </c>
      <c r="BB17" s="3">
        <f>BB16+AU17-W17</f>
        <v>696900.0</v>
      </c>
      <c r="BC17" s="3">
        <f>BC16+AV17-AB17</f>
        <v>141250.0</v>
      </c>
      <c r="BD17" s="3">
        <f>J17*'Inputs'!$B$74</f>
        <v>11900000.0</v>
      </c>
      <c r="BE17" s="3">
        <f>(J17+K17)/'Inputs'!$B$9</f>
        <v>7.95</v>
      </c>
      <c r="BF17" s="3">
        <f>J17*'Inputs'!$B$12</f>
        <v>2.3800000000000003</v>
      </c>
      <c r="BG17" s="3">
        <f>J17*'Inputs'!$B$14</f>
        <v>2.3800000000000003</v>
      </c>
      <c r="BH17" s="3">
        <f>J17*'Inputs'!$B$10/12+E17*'Inputs'!$B$22</f>
        <v>15.583333333333332</v>
      </c>
      <c r="BI17" s="3">
        <f>'Inputs'!$B$6*'Inputs'!$B$7*(F17*('Inputs'!$B$49+'Inputs'!$B$47)+L17*('Inputs'!$B$49+'Inputs'!$B$48))+E17*'Inputs'!$B$46*'Inputs'!$B$18</f>
        <v>10400.0</v>
      </c>
    </row>
    <row r="18" spans="1:61">
      <c r="A18">
        <v>17</v>
      </c>
      <c r="B18" t="s">
        <v>192</v>
      </c>
      <c r="C18">
        <v>2</v>
      </c>
      <c r="D18" s="2">
        <v>2</v>
      </c>
      <c r="E18" s="2">
        <v>1</v>
      </c>
      <c r="F18" s="3">
        <f>IF(A18&gt;'Inputs'!$B$3,INDEX($D$2:$D$37,MAX(1,A18-'Inputs'!$B$3)),0)</f>
        <v>2</v>
      </c>
      <c r="G18" s="3">
        <f>F6+H6</f>
        <v>0.0</v>
      </c>
      <c r="H18" s="3">
        <f>G18*(1-'Inputs'!$B$78)</f>
        <v>0.0</v>
      </c>
      <c r="I18" s="3">
        <f>G18-H18</f>
        <v>0.0</v>
      </c>
      <c r="J18" s="3">
        <f>J17+F18-I18</f>
        <v>13.9</v>
      </c>
      <c r="K18" s="3">
        <f>SUM($D$2:D18)-SUM($F$2:F18)</f>
        <v>4</v>
      </c>
      <c r="L18" s="3">
        <f>F15+H15+F12+H12+F9+H9+H18</f>
        <v>3.0</v>
      </c>
      <c r="M18" s="3">
        <f>F18+L18</f>
        <v>5.0</v>
      </c>
      <c r="N18" s="3">
        <f>IF(A18+1&gt;'Inputs'!$B$3,INDEX($D$2:$D$37,MAX(1,A18+1-'Inputs'!$B$3)),0)+F16+H16+F13+H13+F10+H10+(F7+H7)*(1-'Inputs'!$B$78)</f>
        <v>6.9</v>
      </c>
      <c r="O18" s="3">
        <f>IF(A18+1&gt;'Inputs'!$B$3,INDEX($D$2:$D$37,MAX(1,A18+1-'Inputs'!$B$3)),0)</f>
        <v>2</v>
      </c>
      <c r="P18" s="3">
        <f>F16+F13+F10</f>
        <v>4</v>
      </c>
      <c r="Q18" s="3">
        <f>H16+H13+H10+(F7+H7)*(1-'Inputs'!$B$78)</f>
        <v>0.9</v>
      </c>
      <c r="R18" s="3">
        <f>IF(A18&gt;'Inputs'!$B$4,INDEX($E$2:$E$37,MAX(1,A18-'Inputs'!$B$4)),0)</f>
        <v>1</v>
      </c>
      <c r="S18" s="3">
        <f>J18*'Inputs'!$B$74/12</f>
        <v>1158333.3333333333</v>
      </c>
      <c r="T18" s="3">
        <f>R18*'Inputs'!$B$75</f>
        <v>110000</v>
      </c>
      <c r="U18" s="3">
        <f>S18*IF(C18&gt;1,'Inputs'!$B$80,0)</f>
        <v>289583.3333333333</v>
      </c>
      <c r="V18" s="3">
        <f>SUM(S18:U18)</f>
        <v>1557916.6666666665</v>
      </c>
      <c r="W18" s="3">
        <f>J18*'Inputs'!$B$76/12</f>
        <v>208500.0</v>
      </c>
      <c r="X18" s="3">
        <f>J18*('Inputs'!$B$76*'Inputs'!$B$17+'Inputs'!$B$10*'Inputs'!$B$11+'Inputs'!$B$12*'Inputs'!$B$13+'Inputs'!$B$14*'Inputs'!$B$15+'Inputs'!$B$77+'Inputs'!$B$16)/12</f>
        <v>140158.33333333334</v>
      </c>
      <c r="Y18" s="3">
        <f>MAX(Y17,ROUNDUP((J18+K18)/'Inputs'!$B$9,0))</f>
        <v>9</v>
      </c>
      <c r="Z18" s="3">
        <f>Y18*'Inputs'!$B$8/12</f>
        <v>135000.0</v>
      </c>
      <c r="AA18" s="3">
        <f>W18+X18+Z18</f>
        <v>483658.3333333334</v>
      </c>
      <c r="AB18" s="3">
        <f>R18*('Inputs'!$B$19+'Inputs'!$B$20*'Inputs'!$B$21+'Inputs'!$B$22*'Inputs'!$B$11+'Inputs'!$B$23+'Inputs'!$B$24)</f>
        <v>94166.66666666667</v>
      </c>
      <c r="AC18" s="3">
        <f>U18*'Inputs'!$B$26</f>
        <v>72395.83333333333</v>
      </c>
      <c r="AD18" s="3">
        <f>AA18+AB18+AC18</f>
        <v>650220.8333333334</v>
      </c>
      <c r="AE18" s="3">
        <f>V18-AD18</f>
        <v>907695.8333333331</v>
      </c>
      <c r="AF18" s="3">
        <f>'Inputs'!$B$28/12</f>
        <v>16500.0</v>
      </c>
      <c r="AG18" s="3">
        <f>'Inputs'!$B$82/12</f>
        <v>100000.0</v>
      </c>
      <c r="AH18" s="3">
        <f>'Inputs'!$B$31/12</f>
        <v>15000.0</v>
      </c>
      <c r="AI18" s="3">
        <f>'Inputs'!$B$34/12</f>
        <v>6666.666666666667</v>
      </c>
      <c r="AJ18" s="3">
        <f>'Inputs'!$B$37/12</f>
        <v>7500.0</v>
      </c>
      <c r="AK18" s="3">
        <f>MAX(1,ROUNDUP((SUM($D$14:$D$25)+0.5*SUM($E$14:$E$25))/'Inputs'!$B$40,0))</f>
        <v>4</v>
      </c>
      <c r="AL18" s="3">
        <f>AK18*'Inputs'!$B$39/12</f>
        <v>60000.0</v>
      </c>
      <c r="AM18" s="3">
        <f>D18*'Inputs'!$B$41+E18*'Inputs'!$B$42</f>
        <v>35000</v>
      </c>
      <c r="AN18" s="3">
        <f>0</f>
        <v>0</v>
      </c>
      <c r="AO18" s="3">
        <f>AF18+AG18+AH18+AI18+AJ18+AL18+AM18+AN18</f>
        <v>240666.66666666666</v>
      </c>
      <c r="AP18" s="3">
        <f>AE18-AO18</f>
        <v>667029.1666666665</v>
      </c>
      <c r="AQ18" s="3">
        <f>(D18+L18)*'Inputs'!$B$74/4</f>
        <v>1250000.0</v>
      </c>
      <c r="AR18" s="3">
        <f>(E18*'Inputs'!$B$25+R18*(1-'Inputs'!$B$25))*'Inputs'!$B$75</f>
        <v>110000.0</v>
      </c>
      <c r="AS18" s="3">
        <f>AQ18+AR18+U18</f>
        <v>1649583.3333333333</v>
      </c>
      <c r="AT18" s="3">
        <f>IF(A18&gt;'Inputs'!$B$5,INDEX($AS$2:$AS$37,MAX(1,A18-'Inputs'!$B$5)),0)</f>
        <v>1541250.0</v>
      </c>
      <c r="AU18" s="3">
        <f>'Inputs'!$B$76*(O18*'Inputs'!$B$53+P18*(1-'Inputs'!$B$53)/3+Q18/4)</f>
        <v>329700.0</v>
      </c>
      <c r="AV18" s="3">
        <f>(E18+E17)*('Inputs'!$B$19+'Inputs'!$B$20*'Inputs'!$B$21+'Inputs'!$B$22*'Inputs'!$B$11+'Inputs'!$B$23+'Inputs'!$B$24)/2</f>
        <v>94166.66666666667</v>
      </c>
      <c r="AW18" s="3">
        <f>AU18+X18+Z18+AV18+AC18+AO18</f>
        <v>1012087.5</v>
      </c>
      <c r="AX18" s="3">
        <f>AT18-AW18</f>
        <v>529162.5</v>
      </c>
      <c r="AY18" s="3">
        <f>AY17+AX18</f>
        <v>-724429.166666667</v>
      </c>
      <c r="AZ18" s="3">
        <f>AZ17+AS18-AT18</f>
        <v>3007500.0</v>
      </c>
      <c r="BA18" s="3">
        <f>BA17+AQ18+AR18-S18-T18</f>
        <v>2276666.666666667</v>
      </c>
      <c r="BB18" s="3">
        <f>BB17+AU18-W18</f>
        <v>818100.0</v>
      </c>
      <c r="BC18" s="3">
        <f>BC17+AV18-AB18</f>
        <v>141250.0</v>
      </c>
      <c r="BD18" s="3">
        <f>J18*'Inputs'!$B$74</f>
        <v>13900000.0</v>
      </c>
      <c r="BE18" s="3">
        <f>(J18+K18)/'Inputs'!$B$9</f>
        <v>8.95</v>
      </c>
      <c r="BF18" s="3">
        <f>J18*'Inputs'!$B$12</f>
        <v>2.7800000000000002</v>
      </c>
      <c r="BG18" s="3">
        <f>J18*'Inputs'!$B$14</f>
        <v>2.7800000000000002</v>
      </c>
      <c r="BH18" s="3">
        <f>J18*'Inputs'!$B$10/12+E18*'Inputs'!$B$22</f>
        <v>17.25</v>
      </c>
      <c r="BI18" s="3">
        <f>'Inputs'!$B$6*'Inputs'!$B$7*(F18*('Inputs'!$B$49+'Inputs'!$B$47)+L18*('Inputs'!$B$49+'Inputs'!$B$48))+E18*'Inputs'!$B$46*'Inputs'!$B$18</f>
        <v>12320.0</v>
      </c>
    </row>
    <row r="19" spans="1:61">
      <c r="A19">
        <v>18</v>
      </c>
      <c r="B19" t="s">
        <v>193</v>
      </c>
      <c r="C19">
        <v>2</v>
      </c>
      <c r="D19" s="2">
        <v>2</v>
      </c>
      <c r="E19" s="2">
        <v>1</v>
      </c>
      <c r="F19" s="3">
        <f>IF(A19&gt;'Inputs'!$B$3,INDEX($D$2:$D$37,MAX(1,A19-'Inputs'!$B$3)),0)</f>
        <v>2</v>
      </c>
      <c r="G19" s="3">
        <f>F7+H7</f>
        <v>0.0</v>
      </c>
      <c r="H19" s="3">
        <f>G19*(1-'Inputs'!$B$78)</f>
        <v>0.0</v>
      </c>
      <c r="I19" s="3">
        <f>G19-H19</f>
        <v>0.0</v>
      </c>
      <c r="J19" s="3">
        <f>J18+F19-I19</f>
        <v>15.9</v>
      </c>
      <c r="K19" s="3">
        <f>SUM($D$2:D19)-SUM($F$2:F19)</f>
        <v>4</v>
      </c>
      <c r="L19" s="3">
        <f>F16+H16+F13+H13+F10+H10+H19</f>
        <v>4.9</v>
      </c>
      <c r="M19" s="3">
        <f>F19+L19</f>
        <v>6.9</v>
      </c>
      <c r="N19" s="3">
        <f>IF(A19+1&gt;'Inputs'!$B$3,INDEX($D$2:$D$37,MAX(1,A19+1-'Inputs'!$B$3)),0)+F17+H17+F14+H14+F11+H11+(F8+H8)*(1-'Inputs'!$B$78)</f>
        <v>6.0</v>
      </c>
      <c r="O19" s="3">
        <f>IF(A19+1&gt;'Inputs'!$B$3,INDEX($D$2:$D$37,MAX(1,A19+1-'Inputs'!$B$3)),0)</f>
        <v>2</v>
      </c>
      <c r="P19" s="3">
        <f>F17+F14+F11</f>
        <v>4</v>
      </c>
      <c r="Q19" s="3">
        <f>H17+H14+H11+(F8+H8)*(1-'Inputs'!$B$78)</f>
        <v>0.0</v>
      </c>
      <c r="R19" s="3">
        <f>IF(A19&gt;'Inputs'!$B$4,INDEX($E$2:$E$37,MAX(1,A19-'Inputs'!$B$4)),0)</f>
        <v>1</v>
      </c>
      <c r="S19" s="3">
        <f>J19*'Inputs'!$B$74/12</f>
        <v>1325000.0</v>
      </c>
      <c r="T19" s="3">
        <f>R19*'Inputs'!$B$75</f>
        <v>110000</v>
      </c>
      <c r="U19" s="3">
        <f>S19*IF(C19&gt;1,'Inputs'!$B$80,0)</f>
        <v>331250.0</v>
      </c>
      <c r="V19" s="3">
        <f>SUM(S19:U19)</f>
        <v>1766250.0</v>
      </c>
      <c r="W19" s="3">
        <f>J19*'Inputs'!$B$76/12</f>
        <v>238500.0</v>
      </c>
      <c r="X19" s="3">
        <f>J19*('Inputs'!$B$76*'Inputs'!$B$17+'Inputs'!$B$10*'Inputs'!$B$11+'Inputs'!$B$12*'Inputs'!$B$13+'Inputs'!$B$14*'Inputs'!$B$15+'Inputs'!$B$77+'Inputs'!$B$16)/12</f>
        <v>160325.0</v>
      </c>
      <c r="Y19" s="3">
        <f>MAX(Y18,ROUNDUP((J19+K19)/'Inputs'!$B$9,0))</f>
        <v>10</v>
      </c>
      <c r="Z19" s="3">
        <f>Y19*'Inputs'!$B$8/12</f>
        <v>150000.0</v>
      </c>
      <c r="AA19" s="3">
        <f>W19+X19+Z19</f>
        <v>548825.0</v>
      </c>
      <c r="AB19" s="3">
        <f>R19*('Inputs'!$B$19+'Inputs'!$B$20*'Inputs'!$B$21+'Inputs'!$B$22*'Inputs'!$B$11+'Inputs'!$B$23+'Inputs'!$B$24)</f>
        <v>94166.66666666667</v>
      </c>
      <c r="AC19" s="3">
        <f>U19*'Inputs'!$B$26</f>
        <v>82812.5</v>
      </c>
      <c r="AD19" s="3">
        <f>AA19+AB19+AC19</f>
        <v>725804.1666666666</v>
      </c>
      <c r="AE19" s="3">
        <f>V19-AD19</f>
        <v>1040445.8333333334</v>
      </c>
      <c r="AF19" s="3">
        <f>'Inputs'!$B$28/12</f>
        <v>16500.0</v>
      </c>
      <c r="AG19" s="3">
        <f>'Inputs'!$B$82/12</f>
        <v>100000.0</v>
      </c>
      <c r="AH19" s="3">
        <f>'Inputs'!$B$31/12</f>
        <v>15000.0</v>
      </c>
      <c r="AI19" s="3">
        <f>'Inputs'!$B$34/12</f>
        <v>6666.666666666667</v>
      </c>
      <c r="AJ19" s="3">
        <f>'Inputs'!$B$37/12</f>
        <v>7500.0</v>
      </c>
      <c r="AK19" s="3">
        <f>MAX(1,ROUNDUP((SUM($D$14:$D$25)+0.5*SUM($E$14:$E$25))/'Inputs'!$B$40,0))</f>
        <v>4</v>
      </c>
      <c r="AL19" s="3">
        <f>AK19*'Inputs'!$B$39/12</f>
        <v>60000.0</v>
      </c>
      <c r="AM19" s="3">
        <f>D19*'Inputs'!$B$41+E19*'Inputs'!$B$42</f>
        <v>35000</v>
      </c>
      <c r="AN19" s="3">
        <f>0</f>
        <v>0</v>
      </c>
      <c r="AO19" s="3">
        <f>AF19+AG19+AH19+AI19+AJ19+AL19+AM19+AN19</f>
        <v>240666.66666666666</v>
      </c>
      <c r="AP19" s="3">
        <f>AE19-AO19</f>
        <v>799779.1666666667</v>
      </c>
      <c r="AQ19" s="3">
        <f>(D19+L19)*'Inputs'!$B$74/4</f>
        <v>1725000.0</v>
      </c>
      <c r="AR19" s="3">
        <f>(E19*'Inputs'!$B$25+R19*(1-'Inputs'!$B$25))*'Inputs'!$B$75</f>
        <v>110000.0</v>
      </c>
      <c r="AS19" s="3">
        <f>AQ19+AR19+U19</f>
        <v>2166250.0</v>
      </c>
      <c r="AT19" s="3">
        <f>IF(A19&gt;'Inputs'!$B$5,INDEX($AS$2:$AS$37,MAX(1,A19-'Inputs'!$B$5)),0)</f>
        <v>1357916.6666666667</v>
      </c>
      <c r="AU19" s="3">
        <f>'Inputs'!$B$76*(O19*'Inputs'!$B$53+P19*(1-'Inputs'!$B$53)/3+Q19/4)</f>
        <v>289200.0</v>
      </c>
      <c r="AV19" s="3">
        <f>(E19+E18)*('Inputs'!$B$19+'Inputs'!$B$20*'Inputs'!$B$21+'Inputs'!$B$22*'Inputs'!$B$11+'Inputs'!$B$23+'Inputs'!$B$24)/2</f>
        <v>94166.66666666667</v>
      </c>
      <c r="AW19" s="3">
        <f>AU19+X19+Z19+AV19+AC19+AO19</f>
        <v>1017170.8333333333</v>
      </c>
      <c r="AX19" s="3">
        <f>AT19-AW19</f>
        <v>340745.8333333335</v>
      </c>
      <c r="AY19" s="3">
        <f>AY18+AX19</f>
        <v>-383683.3333333335</v>
      </c>
      <c r="AZ19" s="3">
        <f>AZ18+AS19-AT19</f>
        <v>3815833.333333333</v>
      </c>
      <c r="BA19" s="3">
        <f>BA18+AQ19+AR19-S19-T19</f>
        <v>2676666.666666667</v>
      </c>
      <c r="BB19" s="3">
        <f>BB18+AU19-W19</f>
        <v>868800.0</v>
      </c>
      <c r="BC19" s="3">
        <f>BC18+AV19-AB19</f>
        <v>141250.0</v>
      </c>
      <c r="BD19" s="3">
        <f>J19*'Inputs'!$B$74</f>
        <v>15900000.0</v>
      </c>
      <c r="BE19" s="3">
        <f>(J19+K19)/'Inputs'!$B$9</f>
        <v>9.95</v>
      </c>
      <c r="BF19" s="3">
        <f>J19*'Inputs'!$B$12</f>
        <v>3.18</v>
      </c>
      <c r="BG19" s="3">
        <f>J19*'Inputs'!$B$14</f>
        <v>3.18</v>
      </c>
      <c r="BH19" s="3">
        <f>J19*'Inputs'!$B$10/12+E19*'Inputs'!$B$22</f>
        <v>18.916666666666664</v>
      </c>
      <c r="BI19" s="3">
        <f>'Inputs'!$B$6*'Inputs'!$B$7*(F19*('Inputs'!$B$49+'Inputs'!$B$47)+L19*('Inputs'!$B$49+'Inputs'!$B$48))+E19*'Inputs'!$B$46*'Inputs'!$B$18</f>
        <v>15968.0</v>
      </c>
    </row>
    <row r="20" spans="1:61">
      <c r="A20">
        <v>19</v>
      </c>
      <c r="B20" t="s">
        <v>194</v>
      </c>
      <c r="C20">
        <v>2</v>
      </c>
      <c r="D20" s="2">
        <v>2</v>
      </c>
      <c r="E20" s="2">
        <v>1</v>
      </c>
      <c r="F20" s="3">
        <f>IF(A20&gt;'Inputs'!$B$3,INDEX($D$2:$D$37,MAX(1,A20-'Inputs'!$B$3)),0)</f>
        <v>2</v>
      </c>
      <c r="G20" s="3">
        <f>F8+H8</f>
        <v>0.0</v>
      </c>
      <c r="H20" s="3">
        <f>G20*(1-'Inputs'!$B$78)</f>
        <v>0.0</v>
      </c>
      <c r="I20" s="3">
        <f>G20-H20</f>
        <v>0.0</v>
      </c>
      <c r="J20" s="3">
        <f>J19+F20-I20</f>
        <v>17.9</v>
      </c>
      <c r="K20" s="3">
        <f>SUM($D$2:D20)-SUM($F$2:F20)</f>
        <v>4</v>
      </c>
      <c r="L20" s="3">
        <f>F17+H17+F14+H14+F11+H11+H20</f>
        <v>4.0</v>
      </c>
      <c r="M20" s="3">
        <f>F20+L20</f>
        <v>6.0</v>
      </c>
      <c r="N20" s="3">
        <f>IF(A20+1&gt;'Inputs'!$B$3,INDEX($D$2:$D$37,MAX(1,A20+1-'Inputs'!$B$3)),0)+F18+H18+F15+H15+F12+H12+(F9+H9)*(1-'Inputs'!$B$78)</f>
        <v>7.0</v>
      </c>
      <c r="O20" s="3">
        <f>IF(A20+1&gt;'Inputs'!$B$3,INDEX($D$2:$D$37,MAX(1,A20+1-'Inputs'!$B$3)),0)</f>
        <v>2</v>
      </c>
      <c r="P20" s="3">
        <f>F18+F15+F12</f>
        <v>5</v>
      </c>
      <c r="Q20" s="3">
        <f>H18+H15+H12+(F9+H9)*(1-'Inputs'!$B$78)</f>
        <v>0.0</v>
      </c>
      <c r="R20" s="3">
        <f>IF(A20&gt;'Inputs'!$B$4,INDEX($E$2:$E$37,MAX(1,A20-'Inputs'!$B$4)),0)</f>
        <v>1</v>
      </c>
      <c r="S20" s="3">
        <f>J20*'Inputs'!$B$74/12</f>
        <v>1491666.6666666667</v>
      </c>
      <c r="T20" s="3">
        <f>R20*'Inputs'!$B$75</f>
        <v>110000</v>
      </c>
      <c r="U20" s="3">
        <f>S20*IF(C20&gt;1,'Inputs'!$B$80,0)</f>
        <v>372916.6666666667</v>
      </c>
      <c r="V20" s="3">
        <f>SUM(S20:U20)</f>
        <v>1974583.3333333335</v>
      </c>
      <c r="W20" s="3">
        <f>J20*'Inputs'!$B$76/12</f>
        <v>268499.99999999994</v>
      </c>
      <c r="X20" s="3">
        <f>J20*('Inputs'!$B$76*'Inputs'!$B$17+'Inputs'!$B$10*'Inputs'!$B$11+'Inputs'!$B$12*'Inputs'!$B$13+'Inputs'!$B$14*'Inputs'!$B$15+'Inputs'!$B$77+'Inputs'!$B$16)/12</f>
        <v>180491.66666666666</v>
      </c>
      <c r="Y20" s="3">
        <f>MAX(Y19,ROUNDUP((J20+K20)/'Inputs'!$B$9,0))</f>
        <v>11</v>
      </c>
      <c r="Z20" s="3">
        <f>Y20*'Inputs'!$B$8/12</f>
        <v>165000.0</v>
      </c>
      <c r="AA20" s="3">
        <f>W20+X20+Z20</f>
        <v>613991.6666666666</v>
      </c>
      <c r="AB20" s="3">
        <f>R20*('Inputs'!$B$19+'Inputs'!$B$20*'Inputs'!$B$21+'Inputs'!$B$22*'Inputs'!$B$11+'Inputs'!$B$23+'Inputs'!$B$24)</f>
        <v>94166.66666666667</v>
      </c>
      <c r="AC20" s="3">
        <f>U20*'Inputs'!$B$26</f>
        <v>93229.16666666667</v>
      </c>
      <c r="AD20" s="3">
        <f>AA20+AB20+AC20</f>
        <v>801387.4999999999</v>
      </c>
      <c r="AE20" s="3">
        <f>V20-AD20</f>
        <v>1173195.8333333335</v>
      </c>
      <c r="AF20" s="3">
        <f>'Inputs'!$B$28/12</f>
        <v>16500.0</v>
      </c>
      <c r="AG20" s="3">
        <f>'Inputs'!$B$82/12</f>
        <v>100000.0</v>
      </c>
      <c r="AH20" s="3">
        <f>'Inputs'!$B$31/12</f>
        <v>15000.0</v>
      </c>
      <c r="AI20" s="3">
        <f>'Inputs'!$B$34/12</f>
        <v>6666.666666666667</v>
      </c>
      <c r="AJ20" s="3">
        <f>'Inputs'!$B$37/12</f>
        <v>7500.0</v>
      </c>
      <c r="AK20" s="3">
        <f>MAX(1,ROUNDUP((SUM($D$14:$D$25)+0.5*SUM($E$14:$E$25))/'Inputs'!$B$40,0))</f>
        <v>4</v>
      </c>
      <c r="AL20" s="3">
        <f>AK20*'Inputs'!$B$39/12</f>
        <v>60000.0</v>
      </c>
      <c r="AM20" s="3">
        <f>D20*'Inputs'!$B$41+E20*'Inputs'!$B$42</f>
        <v>35000</v>
      </c>
      <c r="AN20" s="3">
        <f>0</f>
        <v>0</v>
      </c>
      <c r="AO20" s="3">
        <f>AF20+AG20+AH20+AI20+AJ20+AL20+AM20+AN20</f>
        <v>240666.66666666666</v>
      </c>
      <c r="AP20" s="3">
        <f>AE20-AO20</f>
        <v>932529.1666666669</v>
      </c>
      <c r="AQ20" s="3">
        <f>(D20+L20)*'Inputs'!$B$74/4</f>
        <v>1500000.0</v>
      </c>
      <c r="AR20" s="3">
        <f>(E20*'Inputs'!$B$25+R20*(1-'Inputs'!$B$25))*'Inputs'!$B$75</f>
        <v>110000.0</v>
      </c>
      <c r="AS20" s="3">
        <f>AQ20+AR20+U20</f>
        <v>1982916.6666666667</v>
      </c>
      <c r="AT20" s="3">
        <f>IF(A20&gt;'Inputs'!$B$5,INDEX($AS$2:$AS$37,MAX(1,A20-'Inputs'!$B$5)),0)</f>
        <v>1649583.3333333333</v>
      </c>
      <c r="AU20" s="3">
        <f>'Inputs'!$B$76*(O20*'Inputs'!$B$53+P20*(1-'Inputs'!$B$53)/3+Q20/4)</f>
        <v>324600.0</v>
      </c>
      <c r="AV20" s="3">
        <f>(E20+E19)*('Inputs'!$B$19+'Inputs'!$B$20*'Inputs'!$B$21+'Inputs'!$B$22*'Inputs'!$B$11+'Inputs'!$B$23+'Inputs'!$B$24)/2</f>
        <v>94166.66666666667</v>
      </c>
      <c r="AW20" s="3">
        <f>AU20+X20+Z20+AV20+AC20+AO20</f>
        <v>1098154.1666666665</v>
      </c>
      <c r="AX20" s="3">
        <f>AT20-AW20</f>
        <v>551429.1666666667</v>
      </c>
      <c r="AY20" s="3">
        <f>AY19+AX20</f>
        <v>167745.83333333326</v>
      </c>
      <c r="AZ20" s="3">
        <f>AZ19+AS20-AT20</f>
        <v>4149166.666666667</v>
      </c>
      <c r="BA20" s="3">
        <f>BA19+AQ20+AR20-S20-T20</f>
        <v>2685000.0</v>
      </c>
      <c r="BB20" s="3">
        <f>BB19+AU20-W20</f>
        <v>924900.0</v>
      </c>
      <c r="BC20" s="3">
        <f>BC19+AV20-AB20</f>
        <v>141250.0</v>
      </c>
      <c r="BD20" s="3">
        <f>J20*'Inputs'!$B$74</f>
        <v>17900000.0</v>
      </c>
      <c r="BE20" s="3">
        <f>(J20+K20)/'Inputs'!$B$9</f>
        <v>10.95</v>
      </c>
      <c r="BF20" s="3">
        <f>J20*'Inputs'!$B$12</f>
        <v>3.58</v>
      </c>
      <c r="BG20" s="3">
        <f>J20*'Inputs'!$B$14</f>
        <v>3.58</v>
      </c>
      <c r="BH20" s="3">
        <f>J20*'Inputs'!$B$10/12+E20*'Inputs'!$B$22</f>
        <v>20.583333333333332</v>
      </c>
      <c r="BI20" s="3">
        <f>'Inputs'!$B$6*'Inputs'!$B$7*(F20*('Inputs'!$B$49+'Inputs'!$B$47)+L20*('Inputs'!$B$49+'Inputs'!$B$48))+E20*'Inputs'!$B$46*'Inputs'!$B$18</f>
        <v>14240.0</v>
      </c>
    </row>
    <row r="21" spans="1:61">
      <c r="A21">
        <v>20</v>
      </c>
      <c r="B21" t="s">
        <v>195</v>
      </c>
      <c r="C21">
        <v>2</v>
      </c>
      <c r="D21" s="2">
        <v>2</v>
      </c>
      <c r="E21" s="2">
        <v>1</v>
      </c>
      <c r="F21" s="3">
        <f>IF(A21&gt;'Inputs'!$B$3,INDEX($D$2:$D$37,MAX(1,A21-'Inputs'!$B$3)),0)</f>
        <v>2</v>
      </c>
      <c r="G21" s="3">
        <f>F9+H9</f>
        <v>0.0</v>
      </c>
      <c r="H21" s="3">
        <f>G21*(1-'Inputs'!$B$78)</f>
        <v>0.0</v>
      </c>
      <c r="I21" s="3">
        <f>G21-H21</f>
        <v>0.0</v>
      </c>
      <c r="J21" s="3">
        <f>J20+F21-I21</f>
        <v>19.9</v>
      </c>
      <c r="K21" s="3">
        <f>SUM($D$2:D21)-SUM($F$2:F21)</f>
        <v>4</v>
      </c>
      <c r="L21" s="3">
        <f>F18+H18+F15+H15+F12+H12+H21</f>
        <v>5.0</v>
      </c>
      <c r="M21" s="3">
        <f>F21+L21</f>
        <v>7.0</v>
      </c>
      <c r="N21" s="3">
        <f>IF(A21+1&gt;'Inputs'!$B$3,INDEX($D$2:$D$37,MAX(1,A21+1-'Inputs'!$B$3)),0)+F19+H19+F16+H16+F13+H13+(F10+H10)*(1-'Inputs'!$B$78)</f>
        <v>8.8</v>
      </c>
      <c r="O21" s="3">
        <f>IF(A21+1&gt;'Inputs'!$B$3,INDEX($D$2:$D$37,MAX(1,A21+1-'Inputs'!$B$3)),0)</f>
        <v>2</v>
      </c>
      <c r="P21" s="3">
        <f>F19+F16+F13</f>
        <v>5</v>
      </c>
      <c r="Q21" s="3">
        <f>H19+H16+H13+(F10+H10)*(1-'Inputs'!$B$78)</f>
        <v>1.8</v>
      </c>
      <c r="R21" s="3">
        <f>IF(A21&gt;'Inputs'!$B$4,INDEX($E$2:$E$37,MAX(1,A21-'Inputs'!$B$4)),0)</f>
        <v>1</v>
      </c>
      <c r="S21" s="3">
        <f>J21*'Inputs'!$B$74/12</f>
        <v>1658333.3333333333</v>
      </c>
      <c r="T21" s="3">
        <f>R21*'Inputs'!$B$75</f>
        <v>110000</v>
      </c>
      <c r="U21" s="3">
        <f>S21*IF(C21&gt;1,'Inputs'!$B$80,0)</f>
        <v>414583.3333333333</v>
      </c>
      <c r="V21" s="3">
        <f>SUM(S21:U21)</f>
        <v>2182916.6666666665</v>
      </c>
      <c r="W21" s="3">
        <f>J21*'Inputs'!$B$76/12</f>
        <v>298499.99999999994</v>
      </c>
      <c r="X21" s="3">
        <f>J21*('Inputs'!$B$76*'Inputs'!$B$17+'Inputs'!$B$10*'Inputs'!$B$11+'Inputs'!$B$12*'Inputs'!$B$13+'Inputs'!$B$14*'Inputs'!$B$15+'Inputs'!$B$77+'Inputs'!$B$16)/12</f>
        <v>200658.33333333334</v>
      </c>
      <c r="Y21" s="3">
        <f>MAX(Y20,ROUNDUP((J21+K21)/'Inputs'!$B$9,0))</f>
        <v>12</v>
      </c>
      <c r="Z21" s="3">
        <f>Y21*'Inputs'!$B$8/12</f>
        <v>180000.0</v>
      </c>
      <c r="AA21" s="3">
        <f>W21+X21+Z21</f>
        <v>679158.3333333333</v>
      </c>
      <c r="AB21" s="3">
        <f>R21*('Inputs'!$B$19+'Inputs'!$B$20*'Inputs'!$B$21+'Inputs'!$B$22*'Inputs'!$B$11+'Inputs'!$B$23+'Inputs'!$B$24)</f>
        <v>94166.66666666667</v>
      </c>
      <c r="AC21" s="3">
        <f>U21*'Inputs'!$B$26</f>
        <v>103645.83333333333</v>
      </c>
      <c r="AD21" s="3">
        <f>AA21+AB21+AC21</f>
        <v>876970.8333333333</v>
      </c>
      <c r="AE21" s="3">
        <f>V21-AD21</f>
        <v>1305945.8333333333</v>
      </c>
      <c r="AF21" s="3">
        <f>'Inputs'!$B$28/12</f>
        <v>16500.0</v>
      </c>
      <c r="AG21" s="3">
        <f>'Inputs'!$B$82/12</f>
        <v>100000.0</v>
      </c>
      <c r="AH21" s="3">
        <f>'Inputs'!$B$31/12</f>
        <v>15000.0</v>
      </c>
      <c r="AI21" s="3">
        <f>'Inputs'!$B$34/12</f>
        <v>6666.666666666667</v>
      </c>
      <c r="AJ21" s="3">
        <f>'Inputs'!$B$37/12</f>
        <v>7500.0</v>
      </c>
      <c r="AK21" s="3">
        <f>MAX(1,ROUNDUP((SUM($D$14:$D$25)+0.5*SUM($E$14:$E$25))/'Inputs'!$B$40,0))</f>
        <v>4</v>
      </c>
      <c r="AL21" s="3">
        <f>AK21*'Inputs'!$B$39/12</f>
        <v>60000.0</v>
      </c>
      <c r="AM21" s="3">
        <f>D21*'Inputs'!$B$41+E21*'Inputs'!$B$42</f>
        <v>35000</v>
      </c>
      <c r="AN21" s="3">
        <f>0</f>
        <v>0</v>
      </c>
      <c r="AO21" s="3">
        <f>AF21+AG21+AH21+AI21+AJ21+AL21+AM21+AN21</f>
        <v>240666.66666666666</v>
      </c>
      <c r="AP21" s="3">
        <f>AE21-AO21</f>
        <v>1065279.1666666665</v>
      </c>
      <c r="AQ21" s="3">
        <f>(D21+L21)*'Inputs'!$B$74/4</f>
        <v>1750000.0</v>
      </c>
      <c r="AR21" s="3">
        <f>(E21*'Inputs'!$B$25+R21*(1-'Inputs'!$B$25))*'Inputs'!$B$75</f>
        <v>110000.0</v>
      </c>
      <c r="AS21" s="3">
        <f>AQ21+AR21+U21</f>
        <v>2274583.3333333335</v>
      </c>
      <c r="AT21" s="3">
        <f>IF(A21&gt;'Inputs'!$B$5,INDEX($AS$2:$AS$37,MAX(1,A21-'Inputs'!$B$5)),0)</f>
        <v>2166250.0</v>
      </c>
      <c r="AU21" s="3">
        <f>'Inputs'!$B$76*(O21*'Inputs'!$B$53+P21*(1-'Inputs'!$B$53)/3+Q21/4)</f>
        <v>405600.0</v>
      </c>
      <c r="AV21" s="3">
        <f>(E21+E20)*('Inputs'!$B$19+'Inputs'!$B$20*'Inputs'!$B$21+'Inputs'!$B$22*'Inputs'!$B$11+'Inputs'!$B$23+'Inputs'!$B$24)/2</f>
        <v>94166.66666666667</v>
      </c>
      <c r="AW21" s="3">
        <f>AU21+X21+Z21+AV21+AC21+AO21</f>
        <v>1224737.5</v>
      </c>
      <c r="AX21" s="3">
        <f>AT21-AW21</f>
        <v>941512.5</v>
      </c>
      <c r="AY21" s="3">
        <f>AY20+AX21</f>
        <v>1109258.3333333333</v>
      </c>
      <c r="AZ21" s="3">
        <f>AZ20+AS21-AT21</f>
        <v>4257500.0</v>
      </c>
      <c r="BA21" s="3">
        <f>BA20+AQ21+AR21-S21-T21</f>
        <v>2776666.666666667</v>
      </c>
      <c r="BB21" s="3">
        <f>BB20+AU21-W21</f>
        <v>1032000.0</v>
      </c>
      <c r="BC21" s="3">
        <f>BC20+AV21-AB21</f>
        <v>141250.0</v>
      </c>
      <c r="BD21" s="3">
        <f>J21*'Inputs'!$B$74</f>
        <v>19900000.0</v>
      </c>
      <c r="BE21" s="3">
        <f>(J21+K21)/'Inputs'!$B$9</f>
        <v>11.95</v>
      </c>
      <c r="BF21" s="3">
        <f>J21*'Inputs'!$B$12</f>
        <v>3.98</v>
      </c>
      <c r="BG21" s="3">
        <f>J21*'Inputs'!$B$14</f>
        <v>3.98</v>
      </c>
      <c r="BH21" s="3">
        <f>J21*'Inputs'!$B$10/12+E21*'Inputs'!$B$22</f>
        <v>22.25</v>
      </c>
      <c r="BI21" s="3">
        <f>'Inputs'!$B$6*'Inputs'!$B$7*(F21*('Inputs'!$B$49+'Inputs'!$B$47)+L21*('Inputs'!$B$49+'Inputs'!$B$48))+E21*'Inputs'!$B$46*'Inputs'!$B$18</f>
        <v>16160.0</v>
      </c>
    </row>
    <row r="22" spans="1:61">
      <c r="A22">
        <v>21</v>
      </c>
      <c r="B22" t="s">
        <v>196</v>
      </c>
      <c r="C22">
        <v>2</v>
      </c>
      <c r="D22" s="2">
        <v>2</v>
      </c>
      <c r="E22" s="2">
        <v>1</v>
      </c>
      <c r="F22" s="3">
        <f>IF(A22&gt;'Inputs'!$B$3,INDEX($D$2:$D$37,MAX(1,A22-'Inputs'!$B$3)),0)</f>
        <v>2</v>
      </c>
      <c r="G22" s="3">
        <f>F10+H10</f>
        <v>1.0</v>
      </c>
      <c r="H22" s="3">
        <f>G22*(1-'Inputs'!$B$78)</f>
        <v>0.9</v>
      </c>
      <c r="I22" s="3">
        <f>G22-H22</f>
        <v>0.09999999999999998</v>
      </c>
      <c r="J22" s="3">
        <f>J21+F22-I22</f>
        <v>21.799999999999997</v>
      </c>
      <c r="K22" s="3">
        <f>SUM($D$2:D22)-SUM($F$2:F22)</f>
        <v>4</v>
      </c>
      <c r="L22" s="3">
        <f>F19+H19+F16+H16+F13+H13+H22</f>
        <v>6.800000000000001</v>
      </c>
      <c r="M22" s="3">
        <f>F22+L22</f>
        <v>8.8</v>
      </c>
      <c r="N22" s="3">
        <f>IF(A22+1&gt;'Inputs'!$B$3,INDEX($D$2:$D$37,MAX(1,A22+1-'Inputs'!$B$3)),0)+F20+H20+F17+H17+F14+H14+(F11+H11)*(1-'Inputs'!$B$78)</f>
        <v>7.9</v>
      </c>
      <c r="O22" s="3">
        <f>IF(A22+1&gt;'Inputs'!$B$3,INDEX($D$2:$D$37,MAX(1,A22+1-'Inputs'!$B$3)),0)</f>
        <v>2</v>
      </c>
      <c r="P22" s="3">
        <f>F20+F17+F14</f>
        <v>5</v>
      </c>
      <c r="Q22" s="3">
        <f>H20+H17+H14+(F11+H11)*(1-'Inputs'!$B$78)</f>
        <v>0.9</v>
      </c>
      <c r="R22" s="3">
        <f>IF(A22&gt;'Inputs'!$B$4,INDEX($E$2:$E$37,MAX(1,A22-'Inputs'!$B$4)),0)</f>
        <v>1</v>
      </c>
      <c r="S22" s="3">
        <f>J22*'Inputs'!$B$74/12</f>
        <v>1816666.6666666663</v>
      </c>
      <c r="T22" s="3">
        <f>R22*'Inputs'!$B$75</f>
        <v>110000</v>
      </c>
      <c r="U22" s="3">
        <f>S22*IF(C22&gt;1,'Inputs'!$B$80,0)</f>
        <v>454166.66666666657</v>
      </c>
      <c r="V22" s="3">
        <f>SUM(S22:U22)</f>
        <v>2380833.333333333</v>
      </c>
      <c r="W22" s="3">
        <f>J22*'Inputs'!$B$76/12</f>
        <v>326999.99999999994</v>
      </c>
      <c r="X22" s="3">
        <f>J22*('Inputs'!$B$76*'Inputs'!$B$17+'Inputs'!$B$10*'Inputs'!$B$11+'Inputs'!$B$12*'Inputs'!$B$13+'Inputs'!$B$14*'Inputs'!$B$15+'Inputs'!$B$77+'Inputs'!$B$16)/12</f>
        <v>219816.66666666663</v>
      </c>
      <c r="Y22" s="3">
        <f>MAX(Y21,ROUNDUP((J22+K22)/'Inputs'!$B$9,0))</f>
        <v>13</v>
      </c>
      <c r="Z22" s="3">
        <f>Y22*'Inputs'!$B$8/12</f>
        <v>195000.0</v>
      </c>
      <c r="AA22" s="3">
        <f>W22+X22+Z22</f>
        <v>741816.6666666665</v>
      </c>
      <c r="AB22" s="3">
        <f>R22*('Inputs'!$B$19+'Inputs'!$B$20*'Inputs'!$B$21+'Inputs'!$B$22*'Inputs'!$B$11+'Inputs'!$B$23+'Inputs'!$B$24)</f>
        <v>94166.66666666667</v>
      </c>
      <c r="AC22" s="3">
        <f>U22*'Inputs'!$B$26</f>
        <v>113541.66666666664</v>
      </c>
      <c r="AD22" s="3">
        <f>AA22+AB22+AC22</f>
        <v>949524.9999999998</v>
      </c>
      <c r="AE22" s="3">
        <f>V22-AD22</f>
        <v>1431308.3333333333</v>
      </c>
      <c r="AF22" s="3">
        <f>'Inputs'!$B$28/12</f>
        <v>16500.0</v>
      </c>
      <c r="AG22" s="3">
        <f>'Inputs'!$B$82/12</f>
        <v>100000.0</v>
      </c>
      <c r="AH22" s="3">
        <f>'Inputs'!$B$31/12</f>
        <v>15000.0</v>
      </c>
      <c r="AI22" s="3">
        <f>'Inputs'!$B$34/12</f>
        <v>6666.666666666667</v>
      </c>
      <c r="AJ22" s="3">
        <f>'Inputs'!$B$37/12</f>
        <v>7500.0</v>
      </c>
      <c r="AK22" s="3">
        <f>MAX(1,ROUNDUP((SUM($D$14:$D$25)+0.5*SUM($E$14:$E$25))/'Inputs'!$B$40,0))</f>
        <v>4</v>
      </c>
      <c r="AL22" s="3">
        <f>AK22*'Inputs'!$B$39/12</f>
        <v>60000.0</v>
      </c>
      <c r="AM22" s="3">
        <f>D22*'Inputs'!$B$41+E22*'Inputs'!$B$42</f>
        <v>35000</v>
      </c>
      <c r="AN22" s="3">
        <f>0</f>
        <v>0</v>
      </c>
      <c r="AO22" s="3">
        <f>AF22+AG22+AH22+AI22+AJ22+AL22+AM22+AN22</f>
        <v>240666.66666666666</v>
      </c>
      <c r="AP22" s="3">
        <f>AE22-AO22</f>
        <v>1190641.6666666665</v>
      </c>
      <c r="AQ22" s="3">
        <f>(D22+L22)*'Inputs'!$B$74/4</f>
        <v>2200000.0</v>
      </c>
      <c r="AR22" s="3">
        <f>(E22*'Inputs'!$B$25+R22*(1-'Inputs'!$B$25))*'Inputs'!$B$75</f>
        <v>110000.0</v>
      </c>
      <c r="AS22" s="3">
        <f>AQ22+AR22+U22</f>
        <v>2764166.6666666665</v>
      </c>
      <c r="AT22" s="3">
        <f>IF(A22&gt;'Inputs'!$B$5,INDEX($AS$2:$AS$37,MAX(1,A22-'Inputs'!$B$5)),0)</f>
        <v>1982916.6666666667</v>
      </c>
      <c r="AU22" s="3">
        <f>'Inputs'!$B$76*(O22*'Inputs'!$B$53+P22*(1-'Inputs'!$B$53)/3+Q22/4)</f>
        <v>365100.0</v>
      </c>
      <c r="AV22" s="3">
        <f>(E22+E21)*('Inputs'!$B$19+'Inputs'!$B$20*'Inputs'!$B$21+'Inputs'!$B$22*'Inputs'!$B$11+'Inputs'!$B$23+'Inputs'!$B$24)/2</f>
        <v>94166.66666666667</v>
      </c>
      <c r="AW22" s="3">
        <f>AU22+X22+Z22+AV22+AC22+AO22</f>
        <v>1228291.6666666665</v>
      </c>
      <c r="AX22" s="3">
        <f>AT22-AW22</f>
        <v>754625.0000000002</v>
      </c>
      <c r="AY22" s="3">
        <f>AY21+AX22</f>
        <v>1863883.3333333335</v>
      </c>
      <c r="AZ22" s="3">
        <f>AZ21+AS22-AT22</f>
        <v>5038749.999999999</v>
      </c>
      <c r="BA22" s="3">
        <f>BA21+AQ22+AR22-S22-T22</f>
        <v>3160000.000000001</v>
      </c>
      <c r="BB22" s="3">
        <f>BB21+AU22-W22</f>
        <v>1070100.0</v>
      </c>
      <c r="BC22" s="3">
        <f>BC21+AV22-AB22</f>
        <v>141250.0</v>
      </c>
      <c r="BD22" s="3">
        <f>J22*'Inputs'!$B$74</f>
        <v>21799999.999999996</v>
      </c>
      <c r="BE22" s="3">
        <f>(J22+K22)/'Inputs'!$B$9</f>
        <v>12.899999999999999</v>
      </c>
      <c r="BF22" s="3">
        <f>J22*'Inputs'!$B$12</f>
        <v>4.359999999999999</v>
      </c>
      <c r="BG22" s="3">
        <f>J22*'Inputs'!$B$14</f>
        <v>4.359999999999999</v>
      </c>
      <c r="BH22" s="3">
        <f>J22*'Inputs'!$B$10/12+E22*'Inputs'!$B$22</f>
        <v>23.83333333333333</v>
      </c>
      <c r="BI22" s="3">
        <f>'Inputs'!$B$6*'Inputs'!$B$7*(F22*('Inputs'!$B$49+'Inputs'!$B$47)+L22*('Inputs'!$B$49+'Inputs'!$B$48))+E22*'Inputs'!$B$46*'Inputs'!$B$18</f>
        <v>19616.0</v>
      </c>
    </row>
    <row r="23" spans="1:61">
      <c r="A23">
        <v>22</v>
      </c>
      <c r="B23" t="s">
        <v>197</v>
      </c>
      <c r="C23">
        <v>2</v>
      </c>
      <c r="D23" s="2">
        <v>2</v>
      </c>
      <c r="E23" s="2">
        <v>1</v>
      </c>
      <c r="F23" s="3">
        <f>IF(A23&gt;'Inputs'!$B$3,INDEX($D$2:$D$37,MAX(1,A23-'Inputs'!$B$3)),0)</f>
        <v>2</v>
      </c>
      <c r="G23" s="3">
        <f>F11+H11</f>
        <v>1.0</v>
      </c>
      <c r="H23" s="3">
        <f>G23*(1-'Inputs'!$B$78)</f>
        <v>0.9</v>
      </c>
      <c r="I23" s="3">
        <f>G23-H23</f>
        <v>0.09999999999999998</v>
      </c>
      <c r="J23" s="3">
        <f>J22+F23-I23</f>
        <v>23.699999999999996</v>
      </c>
      <c r="K23" s="3">
        <f>SUM($D$2:D23)-SUM($F$2:F23)</f>
        <v>4</v>
      </c>
      <c r="L23" s="3">
        <f>F20+H20+F17+H17+F14+H14+H23</f>
        <v>5.9</v>
      </c>
      <c r="M23" s="3">
        <f>F23+L23</f>
        <v>7.9</v>
      </c>
      <c r="N23" s="3">
        <f>IF(A23+1&gt;'Inputs'!$B$3,INDEX($D$2:$D$37,MAX(1,A23+1-'Inputs'!$B$3)),0)+F21+H21+F18+H18+F15+H15+(F12+H12)*(1-'Inputs'!$B$78)</f>
        <v>8.9</v>
      </c>
      <c r="O23" s="3">
        <f>IF(A23+1&gt;'Inputs'!$B$3,INDEX($D$2:$D$37,MAX(1,A23+1-'Inputs'!$B$3)),0)</f>
        <v>2</v>
      </c>
      <c r="P23" s="3">
        <f>F21+F18+F15</f>
        <v>6</v>
      </c>
      <c r="Q23" s="3">
        <f>H21+H18+H15+(F12+H12)*(1-'Inputs'!$B$78)</f>
        <v>0.9</v>
      </c>
      <c r="R23" s="3">
        <f>IF(A23&gt;'Inputs'!$B$4,INDEX($E$2:$E$37,MAX(1,A23-'Inputs'!$B$4)),0)</f>
        <v>1</v>
      </c>
      <c r="S23" s="3">
        <f>J23*'Inputs'!$B$74/12</f>
        <v>1974999.9999999998</v>
      </c>
      <c r="T23" s="3">
        <f>R23*'Inputs'!$B$75</f>
        <v>110000</v>
      </c>
      <c r="U23" s="3">
        <f>S23*IF(C23&gt;1,'Inputs'!$B$80,0)</f>
        <v>493749.99999999994</v>
      </c>
      <c r="V23" s="3">
        <f>SUM(S23:U23)</f>
        <v>2578749.9999999995</v>
      </c>
      <c r="W23" s="3">
        <f>J23*'Inputs'!$B$76/12</f>
        <v>355499.99999999994</v>
      </c>
      <c r="X23" s="3">
        <f>J23*('Inputs'!$B$76*'Inputs'!$B$17+'Inputs'!$B$10*'Inputs'!$B$11+'Inputs'!$B$12*'Inputs'!$B$13+'Inputs'!$B$14*'Inputs'!$B$15+'Inputs'!$B$77+'Inputs'!$B$16)/12</f>
        <v>238974.99999999997</v>
      </c>
      <c r="Y23" s="3">
        <f>MAX(Y22,ROUNDUP((J23+K23)/'Inputs'!$B$9,0))</f>
        <v>14</v>
      </c>
      <c r="Z23" s="3">
        <f>Y23*'Inputs'!$B$8/12</f>
        <v>210000.0</v>
      </c>
      <c r="AA23" s="3">
        <f>W23+X23+Z23</f>
        <v>804474.9999999999</v>
      </c>
      <c r="AB23" s="3">
        <f>R23*('Inputs'!$B$19+'Inputs'!$B$20*'Inputs'!$B$21+'Inputs'!$B$22*'Inputs'!$B$11+'Inputs'!$B$23+'Inputs'!$B$24)</f>
        <v>94166.66666666667</v>
      </c>
      <c r="AC23" s="3">
        <f>U23*'Inputs'!$B$26</f>
        <v>123437.49999999999</v>
      </c>
      <c r="AD23" s="3">
        <f>AA23+AB23+AC23</f>
        <v>1022079.1666666665</v>
      </c>
      <c r="AE23" s="3">
        <f>V23-AD23</f>
        <v>1556670.833333333</v>
      </c>
      <c r="AF23" s="3">
        <f>'Inputs'!$B$28/12</f>
        <v>16500.0</v>
      </c>
      <c r="AG23" s="3">
        <f>'Inputs'!$B$82/12</f>
        <v>100000.0</v>
      </c>
      <c r="AH23" s="3">
        <f>'Inputs'!$B$31/12</f>
        <v>15000.0</v>
      </c>
      <c r="AI23" s="3">
        <f>'Inputs'!$B$34/12</f>
        <v>6666.666666666667</v>
      </c>
      <c r="AJ23" s="3">
        <f>'Inputs'!$B$37/12</f>
        <v>7500.0</v>
      </c>
      <c r="AK23" s="3">
        <f>MAX(1,ROUNDUP((SUM($D$14:$D$25)+0.5*SUM($E$14:$E$25))/'Inputs'!$B$40,0))</f>
        <v>4</v>
      </c>
      <c r="AL23" s="3">
        <f>AK23*'Inputs'!$B$39/12</f>
        <v>60000.0</v>
      </c>
      <c r="AM23" s="3">
        <f>D23*'Inputs'!$B$41+E23*'Inputs'!$B$42</f>
        <v>35000</v>
      </c>
      <c r="AN23" s="3">
        <f>0</f>
        <v>0</v>
      </c>
      <c r="AO23" s="3">
        <f>AF23+AG23+AH23+AI23+AJ23+AL23+AM23+AN23</f>
        <v>240666.66666666666</v>
      </c>
      <c r="AP23" s="3">
        <f>AE23-AO23</f>
        <v>1316004.1666666663</v>
      </c>
      <c r="AQ23" s="3">
        <f>(D23+L23)*'Inputs'!$B$74/4</f>
        <v>1975000.0</v>
      </c>
      <c r="AR23" s="3">
        <f>(E23*'Inputs'!$B$25+R23*(1-'Inputs'!$B$25))*'Inputs'!$B$75</f>
        <v>110000.0</v>
      </c>
      <c r="AS23" s="3">
        <f>AQ23+AR23+U23</f>
        <v>2578750.0</v>
      </c>
      <c r="AT23" s="3">
        <f>IF(A23&gt;'Inputs'!$B$5,INDEX($AS$2:$AS$37,MAX(1,A23-'Inputs'!$B$5)),0)</f>
        <v>2274583.3333333335</v>
      </c>
      <c r="AU23" s="3">
        <f>'Inputs'!$B$76*(O23*'Inputs'!$B$53+P23*(1-'Inputs'!$B$53)/3+Q23/4)</f>
        <v>400500.0</v>
      </c>
      <c r="AV23" s="3">
        <f>(E23+E22)*('Inputs'!$B$19+'Inputs'!$B$20*'Inputs'!$B$21+'Inputs'!$B$22*'Inputs'!$B$11+'Inputs'!$B$23+'Inputs'!$B$24)/2</f>
        <v>94166.66666666667</v>
      </c>
      <c r="AW23" s="3">
        <f>AU23+X23+Z23+AV23+AC23+AO23</f>
        <v>1307745.8333333333</v>
      </c>
      <c r="AX23" s="3">
        <f>AT23-AW23</f>
        <v>966837.5000000002</v>
      </c>
      <c r="AY23" s="3">
        <f>AY22+AX23</f>
        <v>2830720.833333334</v>
      </c>
      <c r="AZ23" s="3">
        <f>AZ22+AS23-AT23</f>
        <v>5342916.666666666</v>
      </c>
      <c r="BA23" s="3">
        <f>BA22+AQ23+AR23-S23-T23</f>
        <v>3160000.000000001</v>
      </c>
      <c r="BB23" s="3">
        <f>BB22+AU23-W23</f>
        <v>1115100.0</v>
      </c>
      <c r="BC23" s="3">
        <f>BC22+AV23-AB23</f>
        <v>141250.0</v>
      </c>
      <c r="BD23" s="3">
        <f>J23*'Inputs'!$B$74</f>
        <v>23699999.999999996</v>
      </c>
      <c r="BE23" s="3">
        <f>(J23+K23)/'Inputs'!$B$9</f>
        <v>13.849999999999998</v>
      </c>
      <c r="BF23" s="3">
        <f>J23*'Inputs'!$B$12</f>
        <v>4.739999999999999</v>
      </c>
      <c r="BG23" s="3">
        <f>J23*'Inputs'!$B$14</f>
        <v>4.739999999999999</v>
      </c>
      <c r="BH23" s="3">
        <f>J23*'Inputs'!$B$10/12+E23*'Inputs'!$B$22</f>
        <v>25.416666666666664</v>
      </c>
      <c r="BI23" s="3">
        <f>'Inputs'!$B$6*'Inputs'!$B$7*(F23*('Inputs'!$B$49+'Inputs'!$B$47)+L23*('Inputs'!$B$49+'Inputs'!$B$48))+E23*'Inputs'!$B$46*'Inputs'!$B$18</f>
        <v>17888.0</v>
      </c>
    </row>
    <row r="24" spans="1:61">
      <c r="A24">
        <v>23</v>
      </c>
      <c r="B24" t="s">
        <v>198</v>
      </c>
      <c r="C24">
        <v>2</v>
      </c>
      <c r="D24" s="2">
        <v>2</v>
      </c>
      <c r="E24" s="2">
        <v>1</v>
      </c>
      <c r="F24" s="3">
        <f>IF(A24&gt;'Inputs'!$B$3,INDEX($D$2:$D$37,MAX(1,A24-'Inputs'!$B$3)),0)</f>
        <v>2</v>
      </c>
      <c r="G24" s="3">
        <f>F12+H12</f>
        <v>1.0</v>
      </c>
      <c r="H24" s="3">
        <f>G24*(1-'Inputs'!$B$78)</f>
        <v>0.9</v>
      </c>
      <c r="I24" s="3">
        <f>G24-H24</f>
        <v>0.09999999999999998</v>
      </c>
      <c r="J24" s="3">
        <f>J23+F24-I24</f>
        <v>25.599999999999994</v>
      </c>
      <c r="K24" s="3">
        <f>SUM($D$2:D24)-SUM($F$2:F24)</f>
        <v>4</v>
      </c>
      <c r="L24" s="3">
        <f>F21+H21+F18+H18+F15+H15+H24</f>
        <v>6.9</v>
      </c>
      <c r="M24" s="3">
        <f>F24+L24</f>
        <v>8.9</v>
      </c>
      <c r="N24" s="3">
        <f>IF(A24+1&gt;'Inputs'!$B$3,INDEX($D$2:$D$37,MAX(1,A24+1-'Inputs'!$B$3)),0)+F22+H22+F19+H19+F16+H16+(F13+H13)*(1-'Inputs'!$B$78)</f>
        <v>10.700000000000001</v>
      </c>
      <c r="O24" s="3">
        <f>IF(A24+1&gt;'Inputs'!$B$3,INDEX($D$2:$D$37,MAX(1,A24+1-'Inputs'!$B$3)),0)</f>
        <v>2</v>
      </c>
      <c r="P24" s="3">
        <f>F22+F19+F16</f>
        <v>6</v>
      </c>
      <c r="Q24" s="3">
        <f>H22+H19+H16+(F13+H13)*(1-'Inputs'!$B$78)</f>
        <v>2.7</v>
      </c>
      <c r="R24" s="3">
        <f>IF(A24&gt;'Inputs'!$B$4,INDEX($E$2:$E$37,MAX(1,A24-'Inputs'!$B$4)),0)</f>
        <v>1</v>
      </c>
      <c r="S24" s="3">
        <f>J24*'Inputs'!$B$74/12</f>
        <v>2133333.3333333326</v>
      </c>
      <c r="T24" s="3">
        <f>R24*'Inputs'!$B$75</f>
        <v>110000</v>
      </c>
      <c r="U24" s="3">
        <f>S24*IF(C24&gt;1,'Inputs'!$B$80,0)</f>
        <v>533333.3333333331</v>
      </c>
      <c r="V24" s="3">
        <f>SUM(S24:U24)</f>
        <v>2776666.6666666656</v>
      </c>
      <c r="W24" s="3">
        <f>J24*'Inputs'!$B$76/12</f>
        <v>383999.99999999994</v>
      </c>
      <c r="X24" s="3">
        <f>J24*('Inputs'!$B$76*'Inputs'!$B$17+'Inputs'!$B$10*'Inputs'!$B$11+'Inputs'!$B$12*'Inputs'!$B$13+'Inputs'!$B$14*'Inputs'!$B$15+'Inputs'!$B$77+'Inputs'!$B$16)/12</f>
        <v>258133.33333333328</v>
      </c>
      <c r="Y24" s="3">
        <f>MAX(Y23,ROUNDUP((J24+K24)/'Inputs'!$B$9,0))</f>
        <v>15</v>
      </c>
      <c r="Z24" s="3">
        <f>Y24*'Inputs'!$B$8/12</f>
        <v>225000.0</v>
      </c>
      <c r="AA24" s="3">
        <f>W24+X24+Z24</f>
        <v>867133.3333333333</v>
      </c>
      <c r="AB24" s="3">
        <f>R24*('Inputs'!$B$19+'Inputs'!$B$20*'Inputs'!$B$21+'Inputs'!$B$22*'Inputs'!$B$11+'Inputs'!$B$23+'Inputs'!$B$24)</f>
        <v>94166.66666666667</v>
      </c>
      <c r="AC24" s="3">
        <f>U24*'Inputs'!$B$26</f>
        <v>133333.33333333328</v>
      </c>
      <c r="AD24" s="3">
        <f>AA24+AB24+AC24</f>
        <v>1094633.3333333333</v>
      </c>
      <c r="AE24" s="3">
        <f>V24-AD24</f>
        <v>1682033.3333333323</v>
      </c>
      <c r="AF24" s="3">
        <f>'Inputs'!$B$28/12</f>
        <v>16500.0</v>
      </c>
      <c r="AG24" s="3">
        <f>'Inputs'!$B$82/12</f>
        <v>100000.0</v>
      </c>
      <c r="AH24" s="3">
        <f>'Inputs'!$B$31/12</f>
        <v>15000.0</v>
      </c>
      <c r="AI24" s="3">
        <f>'Inputs'!$B$34/12</f>
        <v>6666.666666666667</v>
      </c>
      <c r="AJ24" s="3">
        <f>'Inputs'!$B$37/12</f>
        <v>7500.0</v>
      </c>
      <c r="AK24" s="3">
        <f>MAX(1,ROUNDUP((SUM($D$14:$D$25)+0.5*SUM($E$14:$E$25))/'Inputs'!$B$40,0))</f>
        <v>4</v>
      </c>
      <c r="AL24" s="3">
        <f>AK24*'Inputs'!$B$39/12</f>
        <v>60000.0</v>
      </c>
      <c r="AM24" s="3">
        <f>D24*'Inputs'!$B$41+E24*'Inputs'!$B$42</f>
        <v>35000</v>
      </c>
      <c r="AN24" s="3">
        <f>0</f>
        <v>0</v>
      </c>
      <c r="AO24" s="3">
        <f>AF24+AG24+AH24+AI24+AJ24+AL24+AM24+AN24</f>
        <v>240666.66666666666</v>
      </c>
      <c r="AP24" s="3">
        <f>AE24-AO24</f>
        <v>1441366.6666666656</v>
      </c>
      <c r="AQ24" s="3">
        <f>(D24+L24)*'Inputs'!$B$74/4</f>
        <v>2225000.0</v>
      </c>
      <c r="AR24" s="3">
        <f>(E24*'Inputs'!$B$25+R24*(1-'Inputs'!$B$25))*'Inputs'!$B$75</f>
        <v>110000.0</v>
      </c>
      <c r="AS24" s="3">
        <f>AQ24+AR24+U24</f>
        <v>2868333.333333333</v>
      </c>
      <c r="AT24" s="3">
        <f>IF(A24&gt;'Inputs'!$B$5,INDEX($AS$2:$AS$37,MAX(1,A24-'Inputs'!$B$5)),0)</f>
        <v>2764166.6666666665</v>
      </c>
      <c r="AU24" s="3">
        <f>'Inputs'!$B$76*(O24*'Inputs'!$B$53+P24*(1-'Inputs'!$B$53)/3+Q24/4)</f>
        <v>481499.99999999994</v>
      </c>
      <c r="AV24" s="3">
        <f>(E24+E23)*('Inputs'!$B$19+'Inputs'!$B$20*'Inputs'!$B$21+'Inputs'!$B$22*'Inputs'!$B$11+'Inputs'!$B$23+'Inputs'!$B$24)/2</f>
        <v>94166.66666666667</v>
      </c>
      <c r="AW24" s="3">
        <f>AU24+X24+Z24+AV24+AC24+AO24</f>
        <v>1432800.0</v>
      </c>
      <c r="AX24" s="3">
        <f>AT24-AW24</f>
        <v>1331366.6666666665</v>
      </c>
      <c r="AY24" s="3">
        <f>AY23+AX24</f>
        <v>4162087.5000000005</v>
      </c>
      <c r="AZ24" s="3">
        <f>AZ23+AS24-AT24</f>
        <v>5447083.333333332</v>
      </c>
      <c r="BA24" s="3">
        <f>BA23+AQ24+AR24-S24-T24</f>
        <v>3251666.6666666684</v>
      </c>
      <c r="BB24" s="3">
        <f>BB23+AU24-W24</f>
        <v>1212600.0</v>
      </c>
      <c r="BC24" s="3">
        <f>BC23+AV24-AB24</f>
        <v>141250.0</v>
      </c>
      <c r="BD24" s="3">
        <f>J24*'Inputs'!$B$74</f>
        <v>25599999.999999993</v>
      </c>
      <c r="BE24" s="3">
        <f>(J24+K24)/'Inputs'!$B$9</f>
        <v>14.799999999999997</v>
      </c>
      <c r="BF24" s="3">
        <f>J24*'Inputs'!$B$12</f>
        <v>5.119999999999999</v>
      </c>
      <c r="BG24" s="3">
        <f>J24*'Inputs'!$B$14</f>
        <v>5.119999999999999</v>
      </c>
      <c r="BH24" s="3">
        <f>J24*'Inputs'!$B$10/12+E24*'Inputs'!$B$22</f>
        <v>26.999999999999993</v>
      </c>
      <c r="BI24" s="3">
        <f>'Inputs'!$B$6*'Inputs'!$B$7*(F24*('Inputs'!$B$49+'Inputs'!$B$47)+L24*('Inputs'!$B$49+'Inputs'!$B$48))+E24*'Inputs'!$B$46*'Inputs'!$B$18</f>
        <v>19808.0</v>
      </c>
    </row>
    <row r="25" spans="1:61">
      <c r="A25">
        <v>24</v>
      </c>
      <c r="B25" t="s">
        <v>199</v>
      </c>
      <c r="C25">
        <v>2</v>
      </c>
      <c r="D25" s="2">
        <v>2</v>
      </c>
      <c r="E25" s="2">
        <v>1</v>
      </c>
      <c r="F25" s="3">
        <f>IF(A25&gt;'Inputs'!$B$3,INDEX($D$2:$D$37,MAX(1,A25-'Inputs'!$B$3)),0)</f>
        <v>2</v>
      </c>
      <c r="G25" s="3">
        <f>F13+H13</f>
        <v>1.0</v>
      </c>
      <c r="H25" s="3">
        <f>G25*(1-'Inputs'!$B$78)</f>
        <v>0.9</v>
      </c>
      <c r="I25" s="3">
        <f>G25-H25</f>
        <v>0.09999999999999998</v>
      </c>
      <c r="J25" s="3">
        <f>J24+F25-I25</f>
        <v>27.499999999999993</v>
      </c>
      <c r="K25" s="3">
        <f>SUM($D$2:D25)-SUM($F$2:F25)</f>
        <v>4</v>
      </c>
      <c r="L25" s="3">
        <f>F22+H22+F19+H19+F16+H16+H25</f>
        <v>8.700000000000001</v>
      </c>
      <c r="M25" s="3">
        <f>F25+L25</f>
        <v>10.700000000000001</v>
      </c>
      <c r="N25" s="3">
        <f>IF(A25+1&gt;'Inputs'!$B$3,INDEX($D$2:$D$37,MAX(1,A25+1-'Inputs'!$B$3)),0)+F23+H23+F20+H20+F17+H17+(F14+H14)*(1-'Inputs'!$B$78)</f>
        <v>9.8</v>
      </c>
      <c r="O25" s="3">
        <f>IF(A25+1&gt;'Inputs'!$B$3,INDEX($D$2:$D$37,MAX(1,A25+1-'Inputs'!$B$3)),0)</f>
        <v>2</v>
      </c>
      <c r="P25" s="3">
        <f>F23+F20+F17</f>
        <v>6</v>
      </c>
      <c r="Q25" s="3">
        <f>H23+H20+H17+(F14+H14)*(1-'Inputs'!$B$78)</f>
        <v>1.8</v>
      </c>
      <c r="R25" s="3">
        <f>IF(A25&gt;'Inputs'!$B$4,INDEX($E$2:$E$37,MAX(1,A25-'Inputs'!$B$4)),0)</f>
        <v>1</v>
      </c>
      <c r="S25" s="3">
        <f>J25*'Inputs'!$B$74/12</f>
        <v>2291666.666666666</v>
      </c>
      <c r="T25" s="3">
        <f>R25*'Inputs'!$B$75</f>
        <v>110000</v>
      </c>
      <c r="U25" s="3">
        <f>S25*IF(C25&gt;1,'Inputs'!$B$80,0)</f>
        <v>572916.6666666665</v>
      </c>
      <c r="V25" s="3">
        <f>SUM(S25:U25)</f>
        <v>2974583.3333333326</v>
      </c>
      <c r="W25" s="3">
        <f>J25*'Inputs'!$B$76/12</f>
        <v>412499.99999999994</v>
      </c>
      <c r="X25" s="3">
        <f>J25*('Inputs'!$B$76*'Inputs'!$B$17+'Inputs'!$B$10*'Inputs'!$B$11+'Inputs'!$B$12*'Inputs'!$B$13+'Inputs'!$B$14*'Inputs'!$B$15+'Inputs'!$B$77+'Inputs'!$B$16)/12</f>
        <v>277291.66666666657</v>
      </c>
      <c r="Y25" s="3">
        <f>MAX(Y24,ROUNDUP((J25+K25)/'Inputs'!$B$9,0))</f>
        <v>16</v>
      </c>
      <c r="Z25" s="3">
        <f>Y25*'Inputs'!$B$8/12</f>
        <v>240000.0</v>
      </c>
      <c r="AA25" s="3">
        <f>W25+X25+Z25</f>
        <v>929791.6666666665</v>
      </c>
      <c r="AB25" s="3">
        <f>R25*('Inputs'!$B$19+'Inputs'!$B$20*'Inputs'!$B$21+'Inputs'!$B$22*'Inputs'!$B$11+'Inputs'!$B$23+'Inputs'!$B$24)</f>
        <v>94166.66666666667</v>
      </c>
      <c r="AC25" s="3">
        <f>U25*'Inputs'!$B$26</f>
        <v>143229.16666666663</v>
      </c>
      <c r="AD25" s="3">
        <f>AA25+AB25+AC25</f>
        <v>1167187.4999999998</v>
      </c>
      <c r="AE25" s="3">
        <f>V25-AD25</f>
        <v>1807395.8333333328</v>
      </c>
      <c r="AF25" s="3">
        <f>'Inputs'!$B$28/12</f>
        <v>16500.0</v>
      </c>
      <c r="AG25" s="3">
        <f>'Inputs'!$B$82/12</f>
        <v>100000.0</v>
      </c>
      <c r="AH25" s="3">
        <f>'Inputs'!$B$31/12</f>
        <v>15000.0</v>
      </c>
      <c r="AI25" s="3">
        <f>'Inputs'!$B$34/12</f>
        <v>6666.666666666667</v>
      </c>
      <c r="AJ25" s="3">
        <f>'Inputs'!$B$37/12</f>
        <v>7500.0</v>
      </c>
      <c r="AK25" s="3">
        <f>MAX(1,ROUNDUP((SUM($D$14:$D$25)+0.5*SUM($E$14:$E$25))/'Inputs'!$B$40,0))</f>
        <v>4</v>
      </c>
      <c r="AL25" s="3">
        <f>AK25*'Inputs'!$B$39/12</f>
        <v>60000.0</v>
      </c>
      <c r="AM25" s="3">
        <f>D25*'Inputs'!$B$41+E25*'Inputs'!$B$42</f>
        <v>35000</v>
      </c>
      <c r="AN25" s="3">
        <f>0</f>
        <v>0</v>
      </c>
      <c r="AO25" s="3">
        <f>AF25+AG25+AH25+AI25+AJ25+AL25+AM25+AN25</f>
        <v>240666.66666666666</v>
      </c>
      <c r="AP25" s="3">
        <f>AE25-AO25</f>
        <v>1566729.166666666</v>
      </c>
      <c r="AQ25" s="3">
        <f>(D25+L25)*'Inputs'!$B$74/4</f>
        <v>2675000.0000000005</v>
      </c>
      <c r="AR25" s="3">
        <f>(E25*'Inputs'!$B$25+R25*(1-'Inputs'!$B$25))*'Inputs'!$B$75</f>
        <v>110000.0</v>
      </c>
      <c r="AS25" s="3">
        <f>AQ25+AR25+U25</f>
        <v>3357916.666666667</v>
      </c>
      <c r="AT25" s="3">
        <f>IF(A25&gt;'Inputs'!$B$5,INDEX($AS$2:$AS$37,MAX(1,A25-'Inputs'!$B$5)),0)</f>
        <v>2578750.0</v>
      </c>
      <c r="AU25" s="3">
        <f>'Inputs'!$B$76*(O25*'Inputs'!$B$53+P25*(1-'Inputs'!$B$53)/3+Q25/4)</f>
        <v>441000.00000000006</v>
      </c>
      <c r="AV25" s="3">
        <f>(E25+E24)*('Inputs'!$B$19+'Inputs'!$B$20*'Inputs'!$B$21+'Inputs'!$B$22*'Inputs'!$B$11+'Inputs'!$B$23+'Inputs'!$B$24)/2</f>
        <v>94166.66666666667</v>
      </c>
      <c r="AW25" s="3">
        <f>AU25+X25+Z25+AV25+AC25+AO25</f>
        <v>1436354.1666666667</v>
      </c>
      <c r="AX25" s="3">
        <f>AT25-AW25</f>
        <v>1142395.8333333333</v>
      </c>
      <c r="AY25" s="3">
        <f>AY24+AX25</f>
        <v>5304483.333333334</v>
      </c>
      <c r="AZ25" s="3">
        <f>AZ24+AS25-AT25</f>
        <v>6226250.0</v>
      </c>
      <c r="BA25" s="3">
        <f>BA24+AQ25+AR25-S25-T25</f>
        <v>3635000.000000003</v>
      </c>
      <c r="BB25" s="3">
        <f>BB24+AU25-W25</f>
        <v>1241100.0</v>
      </c>
      <c r="BC25" s="3">
        <f>BC24+AV25-AB25</f>
        <v>141250.0</v>
      </c>
      <c r="BD25" s="3">
        <f>J25*'Inputs'!$B$74</f>
        <v>27499999.999999993</v>
      </c>
      <c r="BE25" s="3">
        <f>(J25+K25)/'Inputs'!$B$9</f>
        <v>15.749999999999996</v>
      </c>
      <c r="BF25" s="3">
        <f>J25*'Inputs'!$B$12</f>
        <v>5.499999999999999</v>
      </c>
      <c r="BG25" s="3">
        <f>J25*'Inputs'!$B$14</f>
        <v>5.499999999999999</v>
      </c>
      <c r="BH25" s="3">
        <f>J25*'Inputs'!$B$10/12+E25*'Inputs'!$B$22</f>
        <v>28.58333333333333</v>
      </c>
      <c r="BI25" s="3">
        <f>'Inputs'!$B$6*'Inputs'!$B$7*(F25*('Inputs'!$B$49+'Inputs'!$B$47)+L25*('Inputs'!$B$49+'Inputs'!$B$48))+E25*'Inputs'!$B$46*'Inputs'!$B$18</f>
        <v>23264.000000000004</v>
      </c>
    </row>
    <row r="26" spans="1:61">
      <c r="A26">
        <v>25</v>
      </c>
      <c r="B26" t="s">
        <v>200</v>
      </c>
      <c r="C26">
        <v>3</v>
      </c>
      <c r="D26" s="2">
        <v>4</v>
      </c>
      <c r="E26" s="2">
        <v>1</v>
      </c>
      <c r="F26" s="3">
        <f>IF(A26&gt;'Inputs'!$B$3,INDEX($D$2:$D$37,MAX(1,A26-'Inputs'!$B$3)),0)</f>
        <v>2</v>
      </c>
      <c r="G26" s="3">
        <f>F14+H14</f>
        <v>1.0</v>
      </c>
      <c r="H26" s="3">
        <f>G26*(1-'Inputs'!$B$78)</f>
        <v>0.9</v>
      </c>
      <c r="I26" s="3">
        <f>G26-H26</f>
        <v>0.09999999999999998</v>
      </c>
      <c r="J26" s="3">
        <f>J25+F26-I26</f>
        <v>29.39999999999999</v>
      </c>
      <c r="K26" s="3">
        <f>SUM($D$2:D26)-SUM($F$2:F26)</f>
        <v>6</v>
      </c>
      <c r="L26" s="3">
        <f>F23+H23+F20+H20+F17+H17+H26</f>
        <v>7.800000000000001</v>
      </c>
      <c r="M26" s="3">
        <f>F26+L26</f>
        <v>9.8</v>
      </c>
      <c r="N26" s="3">
        <f>IF(A26+1&gt;'Inputs'!$B$3,INDEX($D$2:$D$37,MAX(1,A26+1-'Inputs'!$B$3)),0)+F24+H24+F21+H21+F18+H18+(F15+H15)*(1-'Inputs'!$B$78)</f>
        <v>10.700000000000001</v>
      </c>
      <c r="O26" s="3">
        <f>IF(A26+1&gt;'Inputs'!$B$3,INDEX($D$2:$D$37,MAX(1,A26+1-'Inputs'!$B$3)),0)</f>
        <v>2</v>
      </c>
      <c r="P26" s="3">
        <f>F24+F21+F18</f>
        <v>6</v>
      </c>
      <c r="Q26" s="3">
        <f>H24+H21+H18+(F15+H15)*(1-'Inputs'!$B$78)</f>
        <v>2.7</v>
      </c>
      <c r="R26" s="3">
        <f>IF(A26&gt;'Inputs'!$B$4,INDEX($E$2:$E$37,MAX(1,A26-'Inputs'!$B$4)),0)</f>
        <v>1</v>
      </c>
      <c r="S26" s="3">
        <f>J26*'Inputs'!$B$74/12</f>
        <v>2449999.9999999995</v>
      </c>
      <c r="T26" s="3">
        <f>R26*'Inputs'!$B$75</f>
        <v>110000</v>
      </c>
      <c r="U26" s="3">
        <f>S26*IF(C26&gt;1,'Inputs'!$B$80,0)</f>
        <v>612499.9999999999</v>
      </c>
      <c r="V26" s="3">
        <f>SUM(S26:U26)</f>
        <v>3172499.9999999995</v>
      </c>
      <c r="W26" s="3">
        <f>J26*'Inputs'!$B$76/12</f>
        <v>440999.9999999998</v>
      </c>
      <c r="X26" s="3">
        <f>J26*('Inputs'!$B$76*'Inputs'!$B$17+'Inputs'!$B$10*'Inputs'!$B$11+'Inputs'!$B$12*'Inputs'!$B$13+'Inputs'!$B$14*'Inputs'!$B$15+'Inputs'!$B$77+'Inputs'!$B$16)/12</f>
        <v>296449.99999999994</v>
      </c>
      <c r="Y26" s="3">
        <f>MAX(Y25,ROUNDUP((J26+K26)/'Inputs'!$B$9,0))</f>
        <v>18</v>
      </c>
      <c r="Z26" s="3">
        <f>Y26*'Inputs'!$B$8/12</f>
        <v>270000.0</v>
      </c>
      <c r="AA26" s="3">
        <f>W26+X26+Z26</f>
        <v>1007449.9999999998</v>
      </c>
      <c r="AB26" s="3">
        <f>R26*('Inputs'!$B$19+'Inputs'!$B$20*'Inputs'!$B$21+'Inputs'!$B$22*'Inputs'!$B$11+'Inputs'!$B$23+'Inputs'!$B$24)</f>
        <v>94166.66666666667</v>
      </c>
      <c r="AC26" s="3">
        <f>U26*'Inputs'!$B$26</f>
        <v>153124.99999999997</v>
      </c>
      <c r="AD26" s="3">
        <f>AA26+AB26+AC26</f>
        <v>1254741.6666666665</v>
      </c>
      <c r="AE26" s="3">
        <f>V26-AD26</f>
        <v>1917758.333333333</v>
      </c>
      <c r="AF26" s="3">
        <f>'Inputs'!$B$29/12</f>
        <v>18000.0</v>
      </c>
      <c r="AG26" s="3">
        <f>'Inputs'!$B$83/12</f>
        <v>125000.0</v>
      </c>
      <c r="AH26" s="3">
        <f>'Inputs'!$B$32/12</f>
        <v>20000.0</v>
      </c>
      <c r="AI26" s="3">
        <f>'Inputs'!$B$35/12</f>
        <v>8333.333333333334</v>
      </c>
      <c r="AJ26" s="3">
        <f>'Inputs'!$B$38/12</f>
        <v>10000.0</v>
      </c>
      <c r="AK26" s="3">
        <f>MAX(1,ROUNDUP((SUM($D$26:$D$37)+0.5*SUM($E$26:$E$37))/'Inputs'!$B$40,0))</f>
        <v>8</v>
      </c>
      <c r="AL26" s="3">
        <f>AK26*'Inputs'!$B$39/12</f>
        <v>120000.0</v>
      </c>
      <c r="AM26" s="3">
        <f>D26*'Inputs'!$B$41+E26*'Inputs'!$B$42</f>
        <v>65000</v>
      </c>
      <c r="AN26" s="3">
        <f>0</f>
        <v>0</v>
      </c>
      <c r="AO26" s="3">
        <f>AF26+AG26+AH26+AI26+AJ26+AL26+AM26+AN26</f>
        <v>366333.3333333334</v>
      </c>
      <c r="AP26" s="3">
        <f>AE26-AO26</f>
        <v>1551424.9999999995</v>
      </c>
      <c r="AQ26" s="3">
        <f>(D26+L26)*'Inputs'!$B$74/4</f>
        <v>2950000.0</v>
      </c>
      <c r="AR26" s="3">
        <f>(E26*'Inputs'!$B$25+R26*(1-'Inputs'!$B$25))*'Inputs'!$B$75</f>
        <v>110000.0</v>
      </c>
      <c r="AS26" s="3">
        <f>AQ26+AR26+U26</f>
        <v>3672500.0</v>
      </c>
      <c r="AT26" s="3">
        <f>IF(A26&gt;'Inputs'!$B$5,INDEX($AS$2:$AS$37,MAX(1,A26-'Inputs'!$B$5)),0)</f>
        <v>2868333.333333333</v>
      </c>
      <c r="AU26" s="3">
        <f>'Inputs'!$B$76*(O26*'Inputs'!$B$53+P26*(1-'Inputs'!$B$53)/3+Q26/4)</f>
        <v>481499.99999999994</v>
      </c>
      <c r="AV26" s="3">
        <f>(E26+E25)*('Inputs'!$B$19+'Inputs'!$B$20*'Inputs'!$B$21+'Inputs'!$B$22*'Inputs'!$B$11+'Inputs'!$B$23+'Inputs'!$B$24)/2</f>
        <v>94166.66666666667</v>
      </c>
      <c r="AW26" s="3">
        <f>AU26+X26+Z26+AV26+AC26+AO26</f>
        <v>1661575.0</v>
      </c>
      <c r="AX26" s="3">
        <f>AT26-AW26</f>
        <v>1206758.333333333</v>
      </c>
      <c r="AY26" s="3">
        <f>AY25+AX26</f>
        <v>6511241.666666667</v>
      </c>
      <c r="AZ26" s="3">
        <f>AZ25+AS26-AT26</f>
        <v>7030416.666666667</v>
      </c>
      <c r="BA26" s="3">
        <f>BA25+AQ26+AR26-S26-T26</f>
        <v>4135000.0000000037</v>
      </c>
      <c r="BB26" s="3">
        <f>BB25+AU26-W26</f>
        <v>1281600.0000000002</v>
      </c>
      <c r="BC26" s="3">
        <f>BC25+AV26-AB26</f>
        <v>141250.0</v>
      </c>
      <c r="BD26" s="3">
        <f>J26*'Inputs'!$B$74</f>
        <v>29399999.999999993</v>
      </c>
      <c r="BE26" s="3">
        <f>(J26+K26)/'Inputs'!$B$9</f>
        <v>17.699999999999996</v>
      </c>
      <c r="BF26" s="3">
        <f>J26*'Inputs'!$B$12</f>
        <v>5.879999999999999</v>
      </c>
      <c r="BG26" s="3">
        <f>J26*'Inputs'!$B$14</f>
        <v>5.879999999999999</v>
      </c>
      <c r="BH26" s="3">
        <f>J26*'Inputs'!$B$10/12+E26*'Inputs'!$B$22</f>
        <v>30.166666666666657</v>
      </c>
      <c r="BI26" s="3">
        <f>'Inputs'!$B$6*'Inputs'!$B$7*(F26*('Inputs'!$B$49+'Inputs'!$B$47)+L26*('Inputs'!$B$49+'Inputs'!$B$48))+E26*'Inputs'!$B$46*'Inputs'!$B$18</f>
        <v>21536.0</v>
      </c>
    </row>
    <row r="27" spans="1:61">
      <c r="A27">
        <v>26</v>
      </c>
      <c r="B27" t="s">
        <v>201</v>
      </c>
      <c r="C27">
        <v>3</v>
      </c>
      <c r="D27" s="2">
        <v>4</v>
      </c>
      <c r="E27" s="2">
        <v>2</v>
      </c>
      <c r="F27" s="3">
        <f>IF(A27&gt;'Inputs'!$B$3,INDEX($D$2:$D$37,MAX(1,A27-'Inputs'!$B$3)),0)</f>
        <v>2</v>
      </c>
      <c r="G27" s="3">
        <f>F15+H15</f>
        <v>2.0</v>
      </c>
      <c r="H27" s="3">
        <f>G27*(1-'Inputs'!$B$78)</f>
        <v>1.8</v>
      </c>
      <c r="I27" s="3">
        <f>G27-H27</f>
        <v>0.19999999999999996</v>
      </c>
      <c r="J27" s="3">
        <f>J26+F27-I27</f>
        <v>31.199999999999992</v>
      </c>
      <c r="K27" s="3">
        <f>SUM($D$2:D27)-SUM($F$2:F27)</f>
        <v>8</v>
      </c>
      <c r="L27" s="3">
        <f>F24+H24+F21+H21+F18+H18+H27</f>
        <v>8.700000000000001</v>
      </c>
      <c r="M27" s="3">
        <f>F27+L27</f>
        <v>10.700000000000001</v>
      </c>
      <c r="N27" s="3">
        <f>IF(A27+1&gt;'Inputs'!$B$3,INDEX($D$2:$D$37,MAX(1,A27+1-'Inputs'!$B$3)),0)+F25+H25+F22+H22+F19+H19+(F16+H16)*(1-'Inputs'!$B$78)</f>
        <v>14.41</v>
      </c>
      <c r="O27" s="3">
        <f>IF(A27+1&gt;'Inputs'!$B$3,INDEX($D$2:$D$37,MAX(1,A27+1-'Inputs'!$B$3)),0)</f>
        <v>4</v>
      </c>
      <c r="P27" s="3">
        <f>F25+F22+F19</f>
        <v>6</v>
      </c>
      <c r="Q27" s="3">
        <f>H25+H22+H19+(F16+H16)*(1-'Inputs'!$B$78)</f>
        <v>4.41</v>
      </c>
      <c r="R27" s="3">
        <f>IF(A27&gt;'Inputs'!$B$4,INDEX($E$2:$E$37,MAX(1,A27-'Inputs'!$B$4)),0)</f>
        <v>1</v>
      </c>
      <c r="S27" s="3">
        <f>J27*'Inputs'!$B$74/12</f>
        <v>2599999.9999999995</v>
      </c>
      <c r="T27" s="3">
        <f>R27*'Inputs'!$B$75</f>
        <v>110000</v>
      </c>
      <c r="U27" s="3">
        <f>S27*IF(C27&gt;1,'Inputs'!$B$80,0)</f>
        <v>649999.9999999999</v>
      </c>
      <c r="V27" s="3">
        <f>SUM(S27:U27)</f>
        <v>3359999.9999999995</v>
      </c>
      <c r="W27" s="3">
        <f>J27*'Inputs'!$B$76/12</f>
        <v>467999.9999999998</v>
      </c>
      <c r="X27" s="3">
        <f>J27*('Inputs'!$B$76*'Inputs'!$B$17+'Inputs'!$B$10*'Inputs'!$B$11+'Inputs'!$B$12*'Inputs'!$B$13+'Inputs'!$B$14*'Inputs'!$B$15+'Inputs'!$B$77+'Inputs'!$B$16)/12</f>
        <v>314599.99999999994</v>
      </c>
      <c r="Y27" s="3">
        <f>MAX(Y26,ROUNDUP((J27+K27)/'Inputs'!$B$9,0))</f>
        <v>20</v>
      </c>
      <c r="Z27" s="3">
        <f>Y27*'Inputs'!$B$8/12</f>
        <v>300000.0</v>
      </c>
      <c r="AA27" s="3">
        <f>W27+X27+Z27</f>
        <v>1082599.9999999998</v>
      </c>
      <c r="AB27" s="3">
        <f>R27*('Inputs'!$B$19+'Inputs'!$B$20*'Inputs'!$B$21+'Inputs'!$B$22*'Inputs'!$B$11+'Inputs'!$B$23+'Inputs'!$B$24)</f>
        <v>94166.66666666667</v>
      </c>
      <c r="AC27" s="3">
        <f>U27*'Inputs'!$B$26</f>
        <v>162499.99999999997</v>
      </c>
      <c r="AD27" s="3">
        <f>AA27+AB27+AC27</f>
        <v>1339266.6666666665</v>
      </c>
      <c r="AE27" s="3">
        <f>V27-AD27</f>
        <v>2020733.333333333</v>
      </c>
      <c r="AF27" s="3">
        <f>'Inputs'!$B$29/12</f>
        <v>18000.0</v>
      </c>
      <c r="AG27" s="3">
        <f>'Inputs'!$B$83/12</f>
        <v>125000.0</v>
      </c>
      <c r="AH27" s="3">
        <f>'Inputs'!$B$32/12</f>
        <v>20000.0</v>
      </c>
      <c r="AI27" s="3">
        <f>'Inputs'!$B$35/12</f>
        <v>8333.333333333334</v>
      </c>
      <c r="AJ27" s="3">
        <f>'Inputs'!$B$38/12</f>
        <v>10000.0</v>
      </c>
      <c r="AK27" s="3">
        <f>MAX(1,ROUNDUP((SUM($D$26:$D$37)+0.5*SUM($E$26:$E$37))/'Inputs'!$B$40,0))</f>
        <v>8</v>
      </c>
      <c r="AL27" s="3">
        <f>AK27*'Inputs'!$B$39/12</f>
        <v>120000.0</v>
      </c>
      <c r="AM27" s="3">
        <f>D27*'Inputs'!$B$41+E27*'Inputs'!$B$42</f>
        <v>70000</v>
      </c>
      <c r="AN27" s="3">
        <f>0</f>
        <v>0</v>
      </c>
      <c r="AO27" s="3">
        <f>AF27+AG27+AH27+AI27+AJ27+AL27+AM27+AN27</f>
        <v>371333.3333333334</v>
      </c>
      <c r="AP27" s="3">
        <f>AE27-AO27</f>
        <v>1649399.9999999995</v>
      </c>
      <c r="AQ27" s="3">
        <f>(D27+L27)*'Inputs'!$B$74/4</f>
        <v>3175000.0000000005</v>
      </c>
      <c r="AR27" s="3">
        <f>(E27*'Inputs'!$B$25+R27*(1-'Inputs'!$B$25))*'Inputs'!$B$75</f>
        <v>165000.0</v>
      </c>
      <c r="AS27" s="3">
        <f>AQ27+AR27+U27</f>
        <v>3990000.0000000005</v>
      </c>
      <c r="AT27" s="3">
        <f>IF(A27&gt;'Inputs'!$B$5,INDEX($AS$2:$AS$37,MAX(1,A27-'Inputs'!$B$5)),0)</f>
        <v>3357916.666666667</v>
      </c>
      <c r="AU27" s="3">
        <f>'Inputs'!$B$76*(O27*'Inputs'!$B$53+P27*(1-'Inputs'!$B$53)/3+Q27/4)</f>
        <v>706050.0</v>
      </c>
      <c r="AV27" s="3">
        <f>(E27+E26)*('Inputs'!$B$19+'Inputs'!$B$20*'Inputs'!$B$21+'Inputs'!$B$22*'Inputs'!$B$11+'Inputs'!$B$23+'Inputs'!$B$24)/2</f>
        <v>141250.0</v>
      </c>
      <c r="AW27" s="3">
        <f>AU27+X27+Z27+AV27+AC27+AO27</f>
        <v>1995733.3333333335</v>
      </c>
      <c r="AX27" s="3">
        <f>AT27-AW27</f>
        <v>1362183.3333333335</v>
      </c>
      <c r="AY27" s="3">
        <f>AY26+AX27</f>
        <v>7873425.0</v>
      </c>
      <c r="AZ27" s="3">
        <f>AZ26+AS27-AT27</f>
        <v>7662500.000000001</v>
      </c>
      <c r="BA27" s="3">
        <f>BA26+AQ27+AR27-S27-T27</f>
        <v>4765000.000000004</v>
      </c>
      <c r="BB27" s="3">
        <f>BB26+AU27-W27</f>
        <v>1519650.0000000005</v>
      </c>
      <c r="BC27" s="3">
        <f>BC26+AV27-AB27</f>
        <v>188333.3333333333</v>
      </c>
      <c r="BD27" s="3">
        <f>J27*'Inputs'!$B$74</f>
        <v>31199999.999999993</v>
      </c>
      <c r="BE27" s="3">
        <f>(J27+K27)/'Inputs'!$B$9</f>
        <v>19.599999999999994</v>
      </c>
      <c r="BF27" s="3">
        <f>J27*'Inputs'!$B$12</f>
        <v>6.239999999999998</v>
      </c>
      <c r="BG27" s="3">
        <f>J27*'Inputs'!$B$14</f>
        <v>6.239999999999998</v>
      </c>
      <c r="BH27" s="3">
        <f>J27*'Inputs'!$B$10/12+E27*'Inputs'!$B$22</f>
        <v>37.33333333333333</v>
      </c>
      <c r="BI27" s="3">
        <f>'Inputs'!$B$6*'Inputs'!$B$7*(F27*('Inputs'!$B$49+'Inputs'!$B$47)+L27*('Inputs'!$B$49+'Inputs'!$B$48))+E27*'Inputs'!$B$46*'Inputs'!$B$18</f>
        <v>25024.000000000004</v>
      </c>
    </row>
    <row r="28" spans="1:61">
      <c r="A28">
        <v>27</v>
      </c>
      <c r="B28" t="s">
        <v>202</v>
      </c>
      <c r="C28">
        <v>3</v>
      </c>
      <c r="D28" s="2">
        <v>4</v>
      </c>
      <c r="E28" s="2">
        <v>2</v>
      </c>
      <c r="F28" s="3">
        <f>IF(A28&gt;'Inputs'!$B$3,INDEX($D$2:$D$37,MAX(1,A28-'Inputs'!$B$3)),0)</f>
        <v>4</v>
      </c>
      <c r="G28" s="3">
        <f>F16+H16</f>
        <v>2.9</v>
      </c>
      <c r="H28" s="3">
        <f>G28*(1-'Inputs'!$B$78)</f>
        <v>2.61</v>
      </c>
      <c r="I28" s="3">
        <f>G28-H28</f>
        <v>0.29000000000000004</v>
      </c>
      <c r="J28" s="3">
        <f>J27+F28-I28</f>
        <v>34.90999999999999</v>
      </c>
      <c r="K28" s="3">
        <f>SUM($D$2:D28)-SUM($F$2:F28)</f>
        <v>8</v>
      </c>
      <c r="L28" s="3">
        <f>F25+H25+F22+H22+F19+H19+H28</f>
        <v>10.41</v>
      </c>
      <c r="M28" s="3">
        <f>F28+L28</f>
        <v>14.41</v>
      </c>
      <c r="N28" s="3">
        <f>IF(A28+1&gt;'Inputs'!$B$3,INDEX($D$2:$D$37,MAX(1,A28+1-'Inputs'!$B$3)),0)+F26+H26+F23+H23+F20+H20+(F17+H17)*(1-'Inputs'!$B$78)</f>
        <v>13.6</v>
      </c>
      <c r="O28" s="3">
        <f>IF(A28+1&gt;'Inputs'!$B$3,INDEX($D$2:$D$37,MAX(1,A28+1-'Inputs'!$B$3)),0)</f>
        <v>4</v>
      </c>
      <c r="P28" s="3">
        <f>F26+F23+F20</f>
        <v>6</v>
      </c>
      <c r="Q28" s="3">
        <f>H26+H23+H20+(F17+H17)*(1-'Inputs'!$B$78)</f>
        <v>3.6</v>
      </c>
      <c r="R28" s="3">
        <f>IF(A28&gt;'Inputs'!$B$4,INDEX($E$2:$E$37,MAX(1,A28-'Inputs'!$B$4)),0)</f>
        <v>1</v>
      </c>
      <c r="S28" s="3">
        <f>J28*'Inputs'!$B$74/12</f>
        <v>2909166.666666666</v>
      </c>
      <c r="T28" s="3">
        <f>R28*'Inputs'!$B$75</f>
        <v>110000</v>
      </c>
      <c r="U28" s="3">
        <f>S28*IF(C28&gt;1,'Inputs'!$B$80,0)</f>
        <v>727291.6666666665</v>
      </c>
      <c r="V28" s="3">
        <f>SUM(S28:U28)</f>
        <v>3746458.3333333326</v>
      </c>
      <c r="W28" s="3">
        <f>J28*'Inputs'!$B$76/12</f>
        <v>523649.9999999998</v>
      </c>
      <c r="X28" s="3">
        <f>J28*('Inputs'!$B$76*'Inputs'!$B$17+'Inputs'!$B$10*'Inputs'!$B$11+'Inputs'!$B$12*'Inputs'!$B$13+'Inputs'!$B$14*'Inputs'!$B$15+'Inputs'!$B$77+'Inputs'!$B$16)/12</f>
        <v>352009.16666666657</v>
      </c>
      <c r="Y28" s="3">
        <f>MAX(Y27,ROUNDUP((J28+K28)/'Inputs'!$B$9,0))</f>
        <v>22</v>
      </c>
      <c r="Z28" s="3">
        <f>Y28*'Inputs'!$B$8/12</f>
        <v>330000.0</v>
      </c>
      <c r="AA28" s="3">
        <f>W28+X28+Z28</f>
        <v>1205659.1666666665</v>
      </c>
      <c r="AB28" s="3">
        <f>R28*('Inputs'!$B$19+'Inputs'!$B$20*'Inputs'!$B$21+'Inputs'!$B$22*'Inputs'!$B$11+'Inputs'!$B$23+'Inputs'!$B$24)</f>
        <v>94166.66666666667</v>
      </c>
      <c r="AC28" s="3">
        <f>U28*'Inputs'!$B$26</f>
        <v>181822.91666666663</v>
      </c>
      <c r="AD28" s="3">
        <f>AA28+AB28+AC28</f>
        <v>1481648.75</v>
      </c>
      <c r="AE28" s="3">
        <f>V28-AD28</f>
        <v>2264809.5833333326</v>
      </c>
      <c r="AF28" s="3">
        <f>'Inputs'!$B$29/12</f>
        <v>18000.0</v>
      </c>
      <c r="AG28" s="3">
        <f>'Inputs'!$B$83/12</f>
        <v>125000.0</v>
      </c>
      <c r="AH28" s="3">
        <f>'Inputs'!$B$32/12</f>
        <v>20000.0</v>
      </c>
      <c r="AI28" s="3">
        <f>'Inputs'!$B$35/12</f>
        <v>8333.333333333334</v>
      </c>
      <c r="AJ28" s="3">
        <f>'Inputs'!$B$38/12</f>
        <v>10000.0</v>
      </c>
      <c r="AK28" s="3">
        <f>MAX(1,ROUNDUP((SUM($D$26:$D$37)+0.5*SUM($E$26:$E$37))/'Inputs'!$B$40,0))</f>
        <v>8</v>
      </c>
      <c r="AL28" s="3">
        <f>AK28*'Inputs'!$B$39/12</f>
        <v>120000.0</v>
      </c>
      <c r="AM28" s="3">
        <f>D28*'Inputs'!$B$41+E28*'Inputs'!$B$42</f>
        <v>70000</v>
      </c>
      <c r="AN28" s="3">
        <f>0</f>
        <v>0</v>
      </c>
      <c r="AO28" s="3">
        <f>AF28+AG28+AH28+AI28+AJ28+AL28+AM28+AN28</f>
        <v>371333.3333333334</v>
      </c>
      <c r="AP28" s="3">
        <f>AE28-AO28</f>
        <v>1893476.249999999</v>
      </c>
      <c r="AQ28" s="3">
        <f>(D28+L28)*'Inputs'!$B$74/4</f>
        <v>3602500.0</v>
      </c>
      <c r="AR28" s="3">
        <f>(E28*'Inputs'!$B$25+R28*(1-'Inputs'!$B$25))*'Inputs'!$B$75</f>
        <v>165000.0</v>
      </c>
      <c r="AS28" s="3">
        <f>AQ28+AR28+U28</f>
        <v>4494791.666666666</v>
      </c>
      <c r="AT28" s="3">
        <f>IF(A28&gt;'Inputs'!$B$5,INDEX($AS$2:$AS$37,MAX(1,A28-'Inputs'!$B$5)),0)</f>
        <v>3672500.0</v>
      </c>
      <c r="AU28" s="3">
        <f>'Inputs'!$B$76*(O28*'Inputs'!$B$53+P28*(1-'Inputs'!$B$53)/3+Q28/4)</f>
        <v>669600.0</v>
      </c>
      <c r="AV28" s="3">
        <f>(E28+E27)*('Inputs'!$B$19+'Inputs'!$B$20*'Inputs'!$B$21+'Inputs'!$B$22*'Inputs'!$B$11+'Inputs'!$B$23+'Inputs'!$B$24)/2</f>
        <v>188333.33333333334</v>
      </c>
      <c r="AW28" s="3">
        <f>AU28+X28+Z28+AV28+AC28+AO28</f>
        <v>2093098.75</v>
      </c>
      <c r="AX28" s="3">
        <f>AT28-AW28</f>
        <v>1579401.25</v>
      </c>
      <c r="AY28" s="3">
        <f>AY27+AX28</f>
        <v>9452826.25</v>
      </c>
      <c r="AZ28" s="3">
        <f>AZ27+AS28-AT28</f>
        <v>8484791.666666668</v>
      </c>
      <c r="BA28" s="3">
        <f>BA27+AQ28+AR28-S28-T28</f>
        <v>5513333.333333338</v>
      </c>
      <c r="BB28" s="3">
        <f>BB27+AU28-W28</f>
        <v>1665600.0000000007</v>
      </c>
      <c r="BC28" s="3">
        <f>BC27+AV28-AB28</f>
        <v>282499.99999999994</v>
      </c>
      <c r="BD28" s="3">
        <f>J28*'Inputs'!$B$74</f>
        <v>34909999.99999999</v>
      </c>
      <c r="BE28" s="3">
        <f>(J28+K28)/'Inputs'!$B$9</f>
        <v>21.454999999999995</v>
      </c>
      <c r="BF28" s="3">
        <f>J28*'Inputs'!$B$12</f>
        <v>6.981999999999998</v>
      </c>
      <c r="BG28" s="3">
        <f>J28*'Inputs'!$B$14</f>
        <v>6.981999999999998</v>
      </c>
      <c r="BH28" s="3">
        <f>J28*'Inputs'!$B$10/12+E28*'Inputs'!$B$22</f>
        <v>40.42499999999999</v>
      </c>
      <c r="BI28" s="3">
        <f>'Inputs'!$B$6*'Inputs'!$B$7*(F28*('Inputs'!$B$49+'Inputs'!$B$47)+L28*('Inputs'!$B$49+'Inputs'!$B$48))+E28*'Inputs'!$B$46*'Inputs'!$B$18</f>
        <v>33107.2</v>
      </c>
    </row>
    <row r="29" spans="1:61">
      <c r="A29">
        <v>28</v>
      </c>
      <c r="B29" t="s">
        <v>203</v>
      </c>
      <c r="C29">
        <v>3</v>
      </c>
      <c r="D29" s="2">
        <v>4</v>
      </c>
      <c r="E29" s="2">
        <v>1</v>
      </c>
      <c r="F29" s="3">
        <f>IF(A29&gt;'Inputs'!$B$3,INDEX($D$2:$D$37,MAX(1,A29-'Inputs'!$B$3)),0)</f>
        <v>4</v>
      </c>
      <c r="G29" s="3">
        <f>F17+H17</f>
        <v>2.0</v>
      </c>
      <c r="H29" s="3">
        <f>G29*(1-'Inputs'!$B$78)</f>
        <v>1.8</v>
      </c>
      <c r="I29" s="3">
        <f>G29-H29</f>
        <v>0.19999999999999996</v>
      </c>
      <c r="J29" s="3">
        <f>J28+F29-I29</f>
        <v>38.70999999999999</v>
      </c>
      <c r="K29" s="3">
        <f>SUM($D$2:D29)-SUM($F$2:F29)</f>
        <v>8</v>
      </c>
      <c r="L29" s="3">
        <f>F26+H26+F23+H23+F20+H20+H29</f>
        <v>9.6</v>
      </c>
      <c r="M29" s="3">
        <f>F29+L29</f>
        <v>13.6</v>
      </c>
      <c r="N29" s="3">
        <f>IF(A29+1&gt;'Inputs'!$B$3,INDEX($D$2:$D$37,MAX(1,A29+1-'Inputs'!$B$3)),0)+F27+H27+F24+H24+F21+H21+(F18+H18)*(1-'Inputs'!$B$78)</f>
        <v>14.5</v>
      </c>
      <c r="O29" s="3">
        <f>IF(A29+1&gt;'Inputs'!$B$3,INDEX($D$2:$D$37,MAX(1,A29+1-'Inputs'!$B$3)),0)</f>
        <v>4</v>
      </c>
      <c r="P29" s="3">
        <f>F27+F24+F21</f>
        <v>6</v>
      </c>
      <c r="Q29" s="3">
        <f>H27+H24+H21+(F18+H18)*(1-'Inputs'!$B$78)</f>
        <v>4.5</v>
      </c>
      <c r="R29" s="3">
        <f>IF(A29&gt;'Inputs'!$B$4,INDEX($E$2:$E$37,MAX(1,A29-'Inputs'!$B$4)),0)</f>
        <v>2</v>
      </c>
      <c r="S29" s="3">
        <f>J29*'Inputs'!$B$74/12</f>
        <v>3225833.333333332</v>
      </c>
      <c r="T29" s="3">
        <f>R29*'Inputs'!$B$75</f>
        <v>220000</v>
      </c>
      <c r="U29" s="3">
        <f>S29*IF(C29&gt;1,'Inputs'!$B$80,0)</f>
        <v>806458.333333333</v>
      </c>
      <c r="V29" s="3">
        <f>SUM(S29:U29)</f>
        <v>4252291.666666665</v>
      </c>
      <c r="W29" s="3">
        <f>J29*'Inputs'!$B$76/12</f>
        <v>580649.9999999998</v>
      </c>
      <c r="X29" s="3">
        <f>J29*('Inputs'!$B$76*'Inputs'!$B$17+'Inputs'!$B$10*'Inputs'!$B$11+'Inputs'!$B$12*'Inputs'!$B$13+'Inputs'!$B$14*'Inputs'!$B$15+'Inputs'!$B$77+'Inputs'!$B$16)/12</f>
        <v>390325.8333333332</v>
      </c>
      <c r="Y29" s="3">
        <f>MAX(Y28,ROUNDUP((J29+K29)/'Inputs'!$B$9,0))</f>
        <v>24</v>
      </c>
      <c r="Z29" s="3">
        <f>Y29*'Inputs'!$B$8/12</f>
        <v>360000.0</v>
      </c>
      <c r="AA29" s="3">
        <f>W29+X29+Z29</f>
        <v>1330975.833333333</v>
      </c>
      <c r="AB29" s="3">
        <f>R29*('Inputs'!$B$19+'Inputs'!$B$20*'Inputs'!$B$21+'Inputs'!$B$22*'Inputs'!$B$11+'Inputs'!$B$23+'Inputs'!$B$24)</f>
        <v>188333.33333333334</v>
      </c>
      <c r="AC29" s="3">
        <f>U29*'Inputs'!$B$26</f>
        <v>201614.58333333326</v>
      </c>
      <c r="AD29" s="3">
        <f>AA29+AB29+AC29</f>
        <v>1720923.7499999995</v>
      </c>
      <c r="AE29" s="3">
        <f>V29-AD29</f>
        <v>2531367.9166666656</v>
      </c>
      <c r="AF29" s="3">
        <f>'Inputs'!$B$29/12</f>
        <v>18000.0</v>
      </c>
      <c r="AG29" s="3">
        <f>'Inputs'!$B$83/12</f>
        <v>125000.0</v>
      </c>
      <c r="AH29" s="3">
        <f>'Inputs'!$B$32/12</f>
        <v>20000.0</v>
      </c>
      <c r="AI29" s="3">
        <f>'Inputs'!$B$35/12</f>
        <v>8333.333333333334</v>
      </c>
      <c r="AJ29" s="3">
        <f>'Inputs'!$B$38/12</f>
        <v>10000.0</v>
      </c>
      <c r="AK29" s="3">
        <f>MAX(1,ROUNDUP((SUM($D$26:$D$37)+0.5*SUM($E$26:$E$37))/'Inputs'!$B$40,0))</f>
        <v>8</v>
      </c>
      <c r="AL29" s="3">
        <f>AK29*'Inputs'!$B$39/12</f>
        <v>120000.0</v>
      </c>
      <c r="AM29" s="3">
        <f>D29*'Inputs'!$B$41+E29*'Inputs'!$B$42</f>
        <v>65000</v>
      </c>
      <c r="AN29" s="3">
        <f>0</f>
        <v>0</v>
      </c>
      <c r="AO29" s="3">
        <f>AF29+AG29+AH29+AI29+AJ29+AL29+AM29+AN29</f>
        <v>366333.3333333334</v>
      </c>
      <c r="AP29" s="3">
        <f>AE29-AO29</f>
        <v>2165034.583333332</v>
      </c>
      <c r="AQ29" s="3">
        <f>(D29+L29)*'Inputs'!$B$74/4</f>
        <v>3400000.0</v>
      </c>
      <c r="AR29" s="3">
        <f>(E29*'Inputs'!$B$25+R29*(1-'Inputs'!$B$25))*'Inputs'!$B$75</f>
        <v>165000.0</v>
      </c>
      <c r="AS29" s="3">
        <f>AQ29+AR29+U29</f>
        <v>4371458.333333333</v>
      </c>
      <c r="AT29" s="3">
        <f>IF(A29&gt;'Inputs'!$B$5,INDEX($AS$2:$AS$37,MAX(1,A29-'Inputs'!$B$5)),0)</f>
        <v>3990000.0000000005</v>
      </c>
      <c r="AU29" s="3">
        <f>'Inputs'!$B$76*(O29*'Inputs'!$B$53+P29*(1-'Inputs'!$B$53)/3+Q29/4)</f>
        <v>710100.0</v>
      </c>
      <c r="AV29" s="3">
        <f>(E29+E28)*('Inputs'!$B$19+'Inputs'!$B$20*'Inputs'!$B$21+'Inputs'!$B$22*'Inputs'!$B$11+'Inputs'!$B$23+'Inputs'!$B$24)/2</f>
        <v>141250.0</v>
      </c>
      <c r="AW29" s="3">
        <f>AU29+X29+Z29+AV29+AC29+AO29</f>
        <v>2169623.75</v>
      </c>
      <c r="AX29" s="3">
        <f>AT29-AW29</f>
        <v>1820376.2500000005</v>
      </c>
      <c r="AY29" s="3">
        <f>AY28+AX29</f>
        <v>11273202.5</v>
      </c>
      <c r="AZ29" s="3">
        <f>AZ28+AS29-AT29</f>
        <v>8866250.0</v>
      </c>
      <c r="BA29" s="3">
        <f>BA28+AQ29+AR29-S29-T29</f>
        <v>5632500.000000006</v>
      </c>
      <c r="BB29" s="3">
        <f>BB28+AU29-W29</f>
        <v>1795050.0000000012</v>
      </c>
      <c r="BC29" s="3">
        <f>BC28+AV29-AB29</f>
        <v>235416.6666666666</v>
      </c>
      <c r="BD29" s="3">
        <f>J29*'Inputs'!$B$74</f>
        <v>38709999.999999985</v>
      </c>
      <c r="BE29" s="3">
        <f>(J29+K29)/'Inputs'!$B$9</f>
        <v>23.354999999999993</v>
      </c>
      <c r="BF29" s="3">
        <f>J29*'Inputs'!$B$12</f>
        <v>7.741999999999997</v>
      </c>
      <c r="BG29" s="3">
        <f>J29*'Inputs'!$B$14</f>
        <v>7.741999999999997</v>
      </c>
      <c r="BH29" s="3">
        <f>J29*'Inputs'!$B$10/12+E29*'Inputs'!$B$22</f>
        <v>37.92499999999998</v>
      </c>
      <c r="BI29" s="3">
        <f>'Inputs'!$B$6*'Inputs'!$B$7*(F29*('Inputs'!$B$49+'Inputs'!$B$47)+L29*('Inputs'!$B$49+'Inputs'!$B$48))+E29*'Inputs'!$B$46*'Inputs'!$B$18</f>
        <v>29792.0</v>
      </c>
    </row>
    <row r="30" spans="1:61">
      <c r="A30">
        <v>29</v>
      </c>
      <c r="B30" t="s">
        <v>204</v>
      </c>
      <c r="C30">
        <v>3</v>
      </c>
      <c r="D30" s="2">
        <v>4</v>
      </c>
      <c r="E30" s="2">
        <v>2</v>
      </c>
      <c r="F30" s="3">
        <f>IF(A30&gt;'Inputs'!$B$3,INDEX($D$2:$D$37,MAX(1,A30-'Inputs'!$B$3)),0)</f>
        <v>4</v>
      </c>
      <c r="G30" s="3">
        <f>F18+H18</f>
        <v>2.0</v>
      </c>
      <c r="H30" s="3">
        <f>G30*(1-'Inputs'!$B$78)</f>
        <v>1.8</v>
      </c>
      <c r="I30" s="3">
        <f>G30-H30</f>
        <v>0.19999999999999996</v>
      </c>
      <c r="J30" s="3">
        <f>J29+F30-I30</f>
        <v>42.509999999999984</v>
      </c>
      <c r="K30" s="3">
        <f>SUM($D$2:D30)-SUM($F$2:F30)</f>
        <v>8</v>
      </c>
      <c r="L30" s="3">
        <f>F27+H27+F24+H24+F21+H21+H30</f>
        <v>10.5</v>
      </c>
      <c r="M30" s="3">
        <f>F30+L30</f>
        <v>14.5</v>
      </c>
      <c r="N30" s="3">
        <f>IF(A30+1&gt;'Inputs'!$B$3,INDEX($D$2:$D$37,MAX(1,A30+1-'Inputs'!$B$3)),0)+F28+H28+F25+H25+F22+H22+(F19+H19)*(1-'Inputs'!$B$78)</f>
        <v>18.21</v>
      </c>
      <c r="O30" s="3">
        <f>IF(A30+1&gt;'Inputs'!$B$3,INDEX($D$2:$D$37,MAX(1,A30+1-'Inputs'!$B$3)),0)</f>
        <v>4</v>
      </c>
      <c r="P30" s="3">
        <f>F28+F25+F22</f>
        <v>8</v>
      </c>
      <c r="Q30" s="3">
        <f>H28+H25+H22+(F19+H19)*(1-'Inputs'!$B$78)</f>
        <v>6.21</v>
      </c>
      <c r="R30" s="3">
        <f>IF(A30&gt;'Inputs'!$B$4,INDEX($E$2:$E$37,MAX(1,A30-'Inputs'!$B$4)),0)</f>
        <v>2</v>
      </c>
      <c r="S30" s="3">
        <f>J30*'Inputs'!$B$74/12</f>
        <v>3542499.9999999986</v>
      </c>
      <c r="T30" s="3">
        <f>R30*'Inputs'!$B$75</f>
        <v>220000</v>
      </c>
      <c r="U30" s="3">
        <f>S30*IF(C30&gt;1,'Inputs'!$B$80,0)</f>
        <v>885624.9999999997</v>
      </c>
      <c r="V30" s="3">
        <f>SUM(S30:U30)</f>
        <v>4648124.999999998</v>
      </c>
      <c r="W30" s="3">
        <f>J30*'Inputs'!$B$76/12</f>
        <v>637649.9999999998</v>
      </c>
      <c r="X30" s="3">
        <f>J30*('Inputs'!$B$76*'Inputs'!$B$17+'Inputs'!$B$10*'Inputs'!$B$11+'Inputs'!$B$12*'Inputs'!$B$13+'Inputs'!$B$14*'Inputs'!$B$15+'Inputs'!$B$77+'Inputs'!$B$16)/12</f>
        <v>428642.4999999998</v>
      </c>
      <c r="Y30" s="3">
        <f>MAX(Y29,ROUNDUP((J30+K30)/'Inputs'!$B$9,0))</f>
        <v>26</v>
      </c>
      <c r="Z30" s="3">
        <f>Y30*'Inputs'!$B$8/12</f>
        <v>390000.0</v>
      </c>
      <c r="AA30" s="3">
        <f>W30+X30+Z30</f>
        <v>1456292.4999999995</v>
      </c>
      <c r="AB30" s="3">
        <f>R30*('Inputs'!$B$19+'Inputs'!$B$20*'Inputs'!$B$21+'Inputs'!$B$22*'Inputs'!$B$11+'Inputs'!$B$23+'Inputs'!$B$24)</f>
        <v>188333.33333333334</v>
      </c>
      <c r="AC30" s="3">
        <f>U30*'Inputs'!$B$26</f>
        <v>221406.2499999999</v>
      </c>
      <c r="AD30" s="3">
        <f>AA30+AB30+AC30</f>
        <v>1866032.0833333328</v>
      </c>
      <c r="AE30" s="3">
        <f>V30-AD30</f>
        <v>2782092.916666665</v>
      </c>
      <c r="AF30" s="3">
        <f>'Inputs'!$B$29/12</f>
        <v>18000.0</v>
      </c>
      <c r="AG30" s="3">
        <f>'Inputs'!$B$83/12</f>
        <v>125000.0</v>
      </c>
      <c r="AH30" s="3">
        <f>'Inputs'!$B$32/12</f>
        <v>20000.0</v>
      </c>
      <c r="AI30" s="3">
        <f>'Inputs'!$B$35/12</f>
        <v>8333.333333333334</v>
      </c>
      <c r="AJ30" s="3">
        <f>'Inputs'!$B$38/12</f>
        <v>10000.0</v>
      </c>
      <c r="AK30" s="3">
        <f>MAX(1,ROUNDUP((SUM($D$26:$D$37)+0.5*SUM($E$26:$E$37))/'Inputs'!$B$40,0))</f>
        <v>8</v>
      </c>
      <c r="AL30" s="3">
        <f>AK30*'Inputs'!$B$39/12</f>
        <v>120000.0</v>
      </c>
      <c r="AM30" s="3">
        <f>D30*'Inputs'!$B$41+E30*'Inputs'!$B$42</f>
        <v>70000</v>
      </c>
      <c r="AN30" s="3">
        <f>0</f>
        <v>0</v>
      </c>
      <c r="AO30" s="3">
        <f>AF30+AG30+AH30+AI30+AJ30+AL30+AM30+AN30</f>
        <v>371333.3333333334</v>
      </c>
      <c r="AP30" s="3">
        <f>AE30-AO30</f>
        <v>2410759.5833333316</v>
      </c>
      <c r="AQ30" s="3">
        <f>(D30+L30)*'Inputs'!$B$74/4</f>
        <v>3625000.0</v>
      </c>
      <c r="AR30" s="3">
        <f>(E30*'Inputs'!$B$25+R30*(1-'Inputs'!$B$25))*'Inputs'!$B$75</f>
        <v>220000.0</v>
      </c>
      <c r="AS30" s="3">
        <f>AQ30+AR30+U30</f>
        <v>4730625.0</v>
      </c>
      <c r="AT30" s="3">
        <f>IF(A30&gt;'Inputs'!$B$5,INDEX($AS$2:$AS$37,MAX(1,A30-'Inputs'!$B$5)),0)</f>
        <v>4494791.666666666</v>
      </c>
      <c r="AU30" s="3">
        <f>'Inputs'!$B$76*(O30*'Inputs'!$B$53+P30*(1-'Inputs'!$B$53)/3+Q30/4)</f>
        <v>857850.0</v>
      </c>
      <c r="AV30" s="3">
        <f>(E30+E29)*('Inputs'!$B$19+'Inputs'!$B$20*'Inputs'!$B$21+'Inputs'!$B$22*'Inputs'!$B$11+'Inputs'!$B$23+'Inputs'!$B$24)/2</f>
        <v>141250.0</v>
      </c>
      <c r="AW30" s="3">
        <f>AU30+X30+Z30+AV30+AC30+AO30</f>
        <v>2410482.083333333</v>
      </c>
      <c r="AX30" s="3">
        <f>AT30-AW30</f>
        <v>2084309.583333333</v>
      </c>
      <c r="AY30" s="3">
        <f>AY29+AX30</f>
        <v>13357512.083333332</v>
      </c>
      <c r="AZ30" s="3">
        <f>AZ29+AS30-AT30</f>
        <v>9102083.333333334</v>
      </c>
      <c r="BA30" s="3">
        <f>BA29+AQ30+AR30-S30-T30</f>
        <v>5715000.000000007</v>
      </c>
      <c r="BB30" s="3">
        <f>BB29+AU30-W30</f>
        <v>2015250.0000000012</v>
      </c>
      <c r="BC30" s="3">
        <f>BC29+AV30-AB30</f>
        <v>188333.33333333328</v>
      </c>
      <c r="BD30" s="3">
        <f>J30*'Inputs'!$B$74</f>
        <v>42509999.999999985</v>
      </c>
      <c r="BE30" s="3">
        <f>(J30+K30)/'Inputs'!$B$9</f>
        <v>25.254999999999992</v>
      </c>
      <c r="BF30" s="3">
        <f>J30*'Inputs'!$B$12</f>
        <v>8.501999999999997</v>
      </c>
      <c r="BG30" s="3">
        <f>J30*'Inputs'!$B$14</f>
        <v>8.501999999999997</v>
      </c>
      <c r="BH30" s="3">
        <f>J30*'Inputs'!$B$10/12+E30*'Inputs'!$B$22</f>
        <v>46.758333333333326</v>
      </c>
      <c r="BI30" s="3">
        <f>'Inputs'!$B$6*'Inputs'!$B$7*(F30*('Inputs'!$B$49+'Inputs'!$B$47)+L30*('Inputs'!$B$49+'Inputs'!$B$48))+E30*'Inputs'!$B$46*'Inputs'!$B$18</f>
        <v>33280.0</v>
      </c>
    </row>
    <row r="31" spans="1:61">
      <c r="A31">
        <v>30</v>
      </c>
      <c r="B31" t="s">
        <v>205</v>
      </c>
      <c r="C31">
        <v>3</v>
      </c>
      <c r="D31" s="2">
        <v>5</v>
      </c>
      <c r="E31" s="2">
        <v>2</v>
      </c>
      <c r="F31" s="3">
        <f>IF(A31&gt;'Inputs'!$B$3,INDEX($D$2:$D$37,MAX(1,A31-'Inputs'!$B$3)),0)</f>
        <v>4</v>
      </c>
      <c r="G31" s="3">
        <f>F19+H19</f>
        <v>2.0</v>
      </c>
      <c r="H31" s="3">
        <f>G31*(1-'Inputs'!$B$78)</f>
        <v>1.8</v>
      </c>
      <c r="I31" s="3">
        <f>G31-H31</f>
        <v>0.19999999999999996</v>
      </c>
      <c r="J31" s="3">
        <f>J30+F31-I31</f>
        <v>46.30999999999998</v>
      </c>
      <c r="K31" s="3">
        <f>SUM($D$2:D31)-SUM($F$2:F31)</f>
        <v>9</v>
      </c>
      <c r="L31" s="3">
        <f>F28+H28+F25+H25+F22+H22+H31</f>
        <v>14.21</v>
      </c>
      <c r="M31" s="3">
        <f>F31+L31</f>
        <v>18.21</v>
      </c>
      <c r="N31" s="3">
        <f>IF(A31+1&gt;'Inputs'!$B$3,INDEX($D$2:$D$37,MAX(1,A31+1-'Inputs'!$B$3)),0)+F29+H29+F26+H26+F23+H23+(F20+H20)*(1-'Inputs'!$B$78)</f>
        <v>17.4</v>
      </c>
      <c r="O31" s="3">
        <f>IF(A31+1&gt;'Inputs'!$B$3,INDEX($D$2:$D$37,MAX(1,A31+1-'Inputs'!$B$3)),0)</f>
        <v>4</v>
      </c>
      <c r="P31" s="3">
        <f>F29+F26+F23</f>
        <v>8</v>
      </c>
      <c r="Q31" s="3">
        <f>H29+H26+H23+(F20+H20)*(1-'Inputs'!$B$78)</f>
        <v>5.4</v>
      </c>
      <c r="R31" s="3">
        <f>IF(A31&gt;'Inputs'!$B$4,INDEX($E$2:$E$37,MAX(1,A31-'Inputs'!$B$4)),0)</f>
        <v>1</v>
      </c>
      <c r="S31" s="3">
        <f>J31*'Inputs'!$B$74/12</f>
        <v>3859166.6666666646</v>
      </c>
      <c r="T31" s="3">
        <f>R31*'Inputs'!$B$75</f>
        <v>110000</v>
      </c>
      <c r="U31" s="3">
        <f>S31*IF(C31&gt;1,'Inputs'!$B$80,0)</f>
        <v>964791.6666666662</v>
      </c>
      <c r="V31" s="3">
        <f>SUM(S31:U31)</f>
        <v>4933958.333333331</v>
      </c>
      <c r="W31" s="3">
        <f>J31*'Inputs'!$B$76/12</f>
        <v>694649.9999999997</v>
      </c>
      <c r="X31" s="3">
        <f>J31*('Inputs'!$B$76*'Inputs'!$B$17+'Inputs'!$B$10*'Inputs'!$B$11+'Inputs'!$B$12*'Inputs'!$B$13+'Inputs'!$B$14*'Inputs'!$B$15+'Inputs'!$B$77+'Inputs'!$B$16)/12</f>
        <v>466959.1666666665</v>
      </c>
      <c r="Y31" s="3">
        <f>MAX(Y30,ROUNDUP((J31+K31)/'Inputs'!$B$9,0))</f>
        <v>28</v>
      </c>
      <c r="Z31" s="3">
        <f>Y31*'Inputs'!$B$8/12</f>
        <v>420000.0</v>
      </c>
      <c r="AA31" s="3">
        <f>W31+X31+Z31</f>
        <v>1581609.166666666</v>
      </c>
      <c r="AB31" s="3">
        <f>R31*('Inputs'!$B$19+'Inputs'!$B$20*'Inputs'!$B$21+'Inputs'!$B$22*'Inputs'!$B$11+'Inputs'!$B$23+'Inputs'!$B$24)</f>
        <v>94166.66666666667</v>
      </c>
      <c r="AC31" s="3">
        <f>U31*'Inputs'!$B$26</f>
        <v>241197.91666666654</v>
      </c>
      <c r="AD31" s="3">
        <f>AA31+AB31+AC31</f>
        <v>1916973.7499999993</v>
      </c>
      <c r="AE31" s="3">
        <f>V31-AD31</f>
        <v>3016984.583333332</v>
      </c>
      <c r="AF31" s="3">
        <f>'Inputs'!$B$29/12</f>
        <v>18000.0</v>
      </c>
      <c r="AG31" s="3">
        <f>'Inputs'!$B$83/12</f>
        <v>125000.0</v>
      </c>
      <c r="AH31" s="3">
        <f>'Inputs'!$B$32/12</f>
        <v>20000.0</v>
      </c>
      <c r="AI31" s="3">
        <f>'Inputs'!$B$35/12</f>
        <v>8333.333333333334</v>
      </c>
      <c r="AJ31" s="3">
        <f>'Inputs'!$B$38/12</f>
        <v>10000.0</v>
      </c>
      <c r="AK31" s="3">
        <f>MAX(1,ROUNDUP((SUM($D$26:$D$37)+0.5*SUM($E$26:$E$37))/'Inputs'!$B$40,0))</f>
        <v>8</v>
      </c>
      <c r="AL31" s="3">
        <f>AK31*'Inputs'!$B$39/12</f>
        <v>120000.0</v>
      </c>
      <c r="AM31" s="3">
        <f>D31*'Inputs'!$B$41+E31*'Inputs'!$B$42</f>
        <v>85000</v>
      </c>
      <c r="AN31" s="3">
        <f>0</f>
        <v>0</v>
      </c>
      <c r="AO31" s="3">
        <f>AF31+AG31+AH31+AI31+AJ31+AL31+AM31+AN31</f>
        <v>386333.3333333334</v>
      </c>
      <c r="AP31" s="3">
        <f>AE31-AO31</f>
        <v>2630651.2499999986</v>
      </c>
      <c r="AQ31" s="3">
        <f>(D31+L31)*'Inputs'!$B$74/4</f>
        <v>4802500.0</v>
      </c>
      <c r="AR31" s="3">
        <f>(E31*'Inputs'!$B$25+R31*(1-'Inputs'!$B$25))*'Inputs'!$B$75</f>
        <v>165000.0</v>
      </c>
      <c r="AS31" s="3">
        <f>AQ31+AR31+U31</f>
        <v>5932291.666666666</v>
      </c>
      <c r="AT31" s="3">
        <f>IF(A31&gt;'Inputs'!$B$5,INDEX($AS$2:$AS$37,MAX(1,A31-'Inputs'!$B$5)),0)</f>
        <v>4371458.333333333</v>
      </c>
      <c r="AU31" s="3">
        <f>'Inputs'!$B$76*(O31*'Inputs'!$B$53+P31*(1-'Inputs'!$B$53)/3+Q31/4)</f>
        <v>821400.0</v>
      </c>
      <c r="AV31" s="3">
        <f>(E31+E30)*('Inputs'!$B$19+'Inputs'!$B$20*'Inputs'!$B$21+'Inputs'!$B$22*'Inputs'!$B$11+'Inputs'!$B$23+'Inputs'!$B$24)/2</f>
        <v>188333.33333333334</v>
      </c>
      <c r="AW31" s="3">
        <f>AU31+X31+Z31+AV31+AC31+AO31</f>
        <v>2524223.75</v>
      </c>
      <c r="AX31" s="3">
        <f>AT31-AW31</f>
        <v>1847234.583333333</v>
      </c>
      <c r="AY31" s="3">
        <f>AY30+AX31</f>
        <v>15204746.666666664</v>
      </c>
      <c r="AZ31" s="3">
        <f>AZ30+AS31-AT31</f>
        <v>10662916.666666668</v>
      </c>
      <c r="BA31" s="3">
        <f>BA30+AQ31+AR31-S31-T31</f>
        <v>6713333.333333343</v>
      </c>
      <c r="BB31" s="3">
        <f>BB30+AU31-W31</f>
        <v>2142000.0000000014</v>
      </c>
      <c r="BC31" s="3">
        <f>BC30+AV31-AB31</f>
        <v>282499.99999999994</v>
      </c>
      <c r="BD31" s="3">
        <f>J31*'Inputs'!$B$74</f>
        <v>46309999.99999998</v>
      </c>
      <c r="BE31" s="3">
        <f>(J31+K31)/'Inputs'!$B$9</f>
        <v>27.65499999999999</v>
      </c>
      <c r="BF31" s="3">
        <f>J31*'Inputs'!$B$12</f>
        <v>9.261999999999997</v>
      </c>
      <c r="BG31" s="3">
        <f>J31*'Inputs'!$B$14</f>
        <v>9.261999999999997</v>
      </c>
      <c r="BH31" s="3">
        <f>J31*'Inputs'!$B$10/12+E31*'Inputs'!$B$22</f>
        <v>49.92499999999998</v>
      </c>
      <c r="BI31" s="3">
        <f>'Inputs'!$B$6*'Inputs'!$B$7*(F31*('Inputs'!$B$49+'Inputs'!$B$47)+L31*('Inputs'!$B$49+'Inputs'!$B$48))+E31*'Inputs'!$B$46*'Inputs'!$B$18</f>
        <v>40403.200000000004</v>
      </c>
    </row>
    <row r="32" spans="1:61">
      <c r="A32">
        <v>31</v>
      </c>
      <c r="B32" t="s">
        <v>206</v>
      </c>
      <c r="C32">
        <v>3</v>
      </c>
      <c r="D32" s="2">
        <v>4</v>
      </c>
      <c r="E32" s="2">
        <v>1</v>
      </c>
      <c r="F32" s="3">
        <f>IF(A32&gt;'Inputs'!$B$3,INDEX($D$2:$D$37,MAX(1,A32-'Inputs'!$B$3)),0)</f>
        <v>4</v>
      </c>
      <c r="G32" s="3">
        <f>F20+H20</f>
        <v>2.0</v>
      </c>
      <c r="H32" s="3">
        <f>G32*(1-'Inputs'!$B$78)</f>
        <v>1.8</v>
      </c>
      <c r="I32" s="3">
        <f>G32-H32</f>
        <v>0.19999999999999996</v>
      </c>
      <c r="J32" s="3">
        <f>J31+F32-I32</f>
        <v>50.10999999999998</v>
      </c>
      <c r="K32" s="3">
        <f>SUM($D$2:D32)-SUM($F$2:F32)</f>
        <v>9</v>
      </c>
      <c r="L32" s="3">
        <f>F29+H29+F26+H26+F23+H23+H32</f>
        <v>13.4</v>
      </c>
      <c r="M32" s="3">
        <f>F32+L32</f>
        <v>17.4</v>
      </c>
      <c r="N32" s="3">
        <f>IF(A32+1&gt;'Inputs'!$B$3,INDEX($D$2:$D$37,MAX(1,A32+1-'Inputs'!$B$3)),0)+F30+H30+F27+H27+F24+H24+(F21+H21)*(1-'Inputs'!$B$78)</f>
        <v>19.3</v>
      </c>
      <c r="O32" s="3">
        <f>IF(A32+1&gt;'Inputs'!$B$3,INDEX($D$2:$D$37,MAX(1,A32+1-'Inputs'!$B$3)),0)</f>
        <v>5</v>
      </c>
      <c r="P32" s="3">
        <f>F30+F27+F24</f>
        <v>8</v>
      </c>
      <c r="Q32" s="3">
        <f>H30+H27+H24+(F21+H21)*(1-'Inputs'!$B$78)</f>
        <v>6.3</v>
      </c>
      <c r="R32" s="3">
        <f>IF(A32&gt;'Inputs'!$B$4,INDEX($E$2:$E$37,MAX(1,A32-'Inputs'!$B$4)),0)</f>
        <v>2</v>
      </c>
      <c r="S32" s="3">
        <f>J32*'Inputs'!$B$74/12</f>
        <v>4175833.3333333316</v>
      </c>
      <c r="T32" s="3">
        <f>R32*'Inputs'!$B$75</f>
        <v>220000</v>
      </c>
      <c r="U32" s="3">
        <f>S32*IF(C32&gt;1,'Inputs'!$B$80,0)</f>
        <v>1043958.3333333329</v>
      </c>
      <c r="V32" s="3">
        <f>SUM(S32:U32)</f>
        <v>5439791.666666665</v>
      </c>
      <c r="W32" s="3">
        <f>J32*'Inputs'!$B$76/12</f>
        <v>751649.9999999997</v>
      </c>
      <c r="X32" s="3">
        <f>J32*('Inputs'!$B$76*'Inputs'!$B$17+'Inputs'!$B$10*'Inputs'!$B$11+'Inputs'!$B$12*'Inputs'!$B$13+'Inputs'!$B$14*'Inputs'!$B$15+'Inputs'!$B$77+'Inputs'!$B$16)/12</f>
        <v>505275.8333333331</v>
      </c>
      <c r="Y32" s="3">
        <f>MAX(Y31,ROUNDUP((J32+K32)/'Inputs'!$B$9,0))</f>
        <v>30</v>
      </c>
      <c r="Z32" s="3">
        <f>Y32*'Inputs'!$B$8/12</f>
        <v>450000.0</v>
      </c>
      <c r="AA32" s="3">
        <f>W32+X32+Z32</f>
        <v>1706925.8333333328</v>
      </c>
      <c r="AB32" s="3">
        <f>R32*('Inputs'!$B$19+'Inputs'!$B$20*'Inputs'!$B$21+'Inputs'!$B$22*'Inputs'!$B$11+'Inputs'!$B$23+'Inputs'!$B$24)</f>
        <v>188333.33333333334</v>
      </c>
      <c r="AC32" s="3">
        <f>U32*'Inputs'!$B$26</f>
        <v>260989.58333333323</v>
      </c>
      <c r="AD32" s="3">
        <f>AA32+AB32+AC32</f>
        <v>2156248.749999999</v>
      </c>
      <c r="AE32" s="3">
        <f>V32-AD32</f>
        <v>3283542.916666666</v>
      </c>
      <c r="AF32" s="3">
        <f>'Inputs'!$B$29/12</f>
        <v>18000.0</v>
      </c>
      <c r="AG32" s="3">
        <f>'Inputs'!$B$83/12</f>
        <v>125000.0</v>
      </c>
      <c r="AH32" s="3">
        <f>'Inputs'!$B$32/12</f>
        <v>20000.0</v>
      </c>
      <c r="AI32" s="3">
        <f>'Inputs'!$B$35/12</f>
        <v>8333.333333333334</v>
      </c>
      <c r="AJ32" s="3">
        <f>'Inputs'!$B$38/12</f>
        <v>10000.0</v>
      </c>
      <c r="AK32" s="3">
        <f>MAX(1,ROUNDUP((SUM($D$26:$D$37)+0.5*SUM($E$26:$E$37))/'Inputs'!$B$40,0))</f>
        <v>8</v>
      </c>
      <c r="AL32" s="3">
        <f>AK32*'Inputs'!$B$39/12</f>
        <v>120000.0</v>
      </c>
      <c r="AM32" s="3">
        <f>D32*'Inputs'!$B$41+E32*'Inputs'!$B$42</f>
        <v>65000</v>
      </c>
      <c r="AN32" s="3">
        <f>0</f>
        <v>0</v>
      </c>
      <c r="AO32" s="3">
        <f>AF32+AG32+AH32+AI32+AJ32+AL32+AM32+AN32</f>
        <v>366333.3333333334</v>
      </c>
      <c r="AP32" s="3">
        <f>AE32-AO32</f>
        <v>2917209.5833333326</v>
      </c>
      <c r="AQ32" s="3">
        <f>(D32+L32)*'Inputs'!$B$74/4</f>
        <v>4350000.0</v>
      </c>
      <c r="AR32" s="3">
        <f>(E32*'Inputs'!$B$25+R32*(1-'Inputs'!$B$25))*'Inputs'!$B$75</f>
        <v>165000.0</v>
      </c>
      <c r="AS32" s="3">
        <f>AQ32+AR32+U32</f>
        <v>5558958.333333333</v>
      </c>
      <c r="AT32" s="3">
        <f>IF(A32&gt;'Inputs'!$B$5,INDEX($AS$2:$AS$37,MAX(1,A32-'Inputs'!$B$5)),0)</f>
        <v>4730625.0</v>
      </c>
      <c r="AU32" s="3">
        <f>'Inputs'!$B$76*(O32*'Inputs'!$B$53+P32*(1-'Inputs'!$B$53)/3+Q32/4)</f>
        <v>935700.0</v>
      </c>
      <c r="AV32" s="3">
        <f>(E32+E31)*('Inputs'!$B$19+'Inputs'!$B$20*'Inputs'!$B$21+'Inputs'!$B$22*'Inputs'!$B$11+'Inputs'!$B$23+'Inputs'!$B$24)/2</f>
        <v>141250.0</v>
      </c>
      <c r="AW32" s="3">
        <f>AU32+X32+Z32+AV32+AC32+AO32</f>
        <v>2659548.7499999995</v>
      </c>
      <c r="AX32" s="3">
        <f>AT32-AW32</f>
        <v>2071076.2500000005</v>
      </c>
      <c r="AY32" s="3">
        <f>AY31+AX32</f>
        <v>17275822.916666664</v>
      </c>
      <c r="AZ32" s="3">
        <f>AZ31+AS32-AT32</f>
        <v>11491250.0</v>
      </c>
      <c r="BA32" s="3">
        <f>BA31+AQ32+AR32-S32-T32</f>
        <v>6832500.000000011</v>
      </c>
      <c r="BB32" s="3">
        <f>BB31+AU32-W32</f>
        <v>2326050.000000002</v>
      </c>
      <c r="BC32" s="3">
        <f>BC31+AV32-AB32</f>
        <v>235416.6666666666</v>
      </c>
      <c r="BD32" s="3">
        <f>J32*'Inputs'!$B$74</f>
        <v>50109999.99999998</v>
      </c>
      <c r="BE32" s="3">
        <f>(J32+K32)/'Inputs'!$B$9</f>
        <v>29.55499999999999</v>
      </c>
      <c r="BF32" s="3">
        <f>J32*'Inputs'!$B$12</f>
        <v>10.021999999999997</v>
      </c>
      <c r="BG32" s="3">
        <f>J32*'Inputs'!$B$14</f>
        <v>10.021999999999997</v>
      </c>
      <c r="BH32" s="3">
        <f>J32*'Inputs'!$B$10/12+E32*'Inputs'!$B$22</f>
        <v>47.42499999999998</v>
      </c>
      <c r="BI32" s="3">
        <f>'Inputs'!$B$6*'Inputs'!$B$7*(F32*('Inputs'!$B$49+'Inputs'!$B$47)+L32*('Inputs'!$B$49+'Inputs'!$B$48))+E32*'Inputs'!$B$46*'Inputs'!$B$18</f>
        <v>37088.0</v>
      </c>
    </row>
    <row r="33" spans="1:61">
      <c r="A33">
        <v>32</v>
      </c>
      <c r="B33" t="s">
        <v>207</v>
      </c>
      <c r="C33">
        <v>3</v>
      </c>
      <c r="D33" s="2">
        <v>4</v>
      </c>
      <c r="E33" s="2">
        <v>2</v>
      </c>
      <c r="F33" s="3">
        <f>IF(A33&gt;'Inputs'!$B$3,INDEX($D$2:$D$37,MAX(1,A33-'Inputs'!$B$3)),0)</f>
        <v>5</v>
      </c>
      <c r="G33" s="3">
        <f>F21+H21</f>
        <v>2.0</v>
      </c>
      <c r="H33" s="3">
        <f>G33*(1-'Inputs'!$B$78)</f>
        <v>1.8</v>
      </c>
      <c r="I33" s="3">
        <f>G33-H33</f>
        <v>0.19999999999999996</v>
      </c>
      <c r="J33" s="3">
        <f>J32+F33-I33</f>
        <v>54.909999999999975</v>
      </c>
      <c r="K33" s="3">
        <f>SUM($D$2:D33)-SUM($F$2:F33)</f>
        <v>8</v>
      </c>
      <c r="L33" s="3">
        <f>F30+H30+F27+H27+F24+H24+H33</f>
        <v>14.3</v>
      </c>
      <c r="M33" s="3">
        <f>F33+L33</f>
        <v>19.3</v>
      </c>
      <c r="N33" s="3">
        <f>IF(A33+1&gt;'Inputs'!$B$3,INDEX($D$2:$D$37,MAX(1,A33+1-'Inputs'!$B$3)),0)+F31+H31+F28+H28+F25+H25+(F22+H22)*(1-'Inputs'!$B$78)</f>
        <v>21.92</v>
      </c>
      <c r="O33" s="3">
        <f>IF(A33+1&gt;'Inputs'!$B$3,INDEX($D$2:$D$37,MAX(1,A33+1-'Inputs'!$B$3)),0)</f>
        <v>4</v>
      </c>
      <c r="P33" s="3">
        <f>F31+F28+F25</f>
        <v>10</v>
      </c>
      <c r="Q33" s="3">
        <f>H31+H28+H25+(F22+H22)*(1-'Inputs'!$B$78)</f>
        <v>7.92</v>
      </c>
      <c r="R33" s="3">
        <f>IF(A33&gt;'Inputs'!$B$4,INDEX($E$2:$E$37,MAX(1,A33-'Inputs'!$B$4)),0)</f>
        <v>2</v>
      </c>
      <c r="S33" s="3">
        <f>J33*'Inputs'!$B$74/12</f>
        <v>4575833.333333331</v>
      </c>
      <c r="T33" s="3">
        <f>R33*'Inputs'!$B$75</f>
        <v>220000</v>
      </c>
      <c r="U33" s="3">
        <f>S33*IF(C33&gt;1,'Inputs'!$B$80,0)</f>
        <v>1143958.3333333328</v>
      </c>
      <c r="V33" s="3">
        <f>SUM(S33:U33)</f>
        <v>5939791.666666664</v>
      </c>
      <c r="W33" s="3">
        <f>J33*'Inputs'!$B$76/12</f>
        <v>823649.9999999997</v>
      </c>
      <c r="X33" s="3">
        <f>J33*('Inputs'!$B$76*'Inputs'!$B$17+'Inputs'!$B$10*'Inputs'!$B$11+'Inputs'!$B$12*'Inputs'!$B$13+'Inputs'!$B$14*'Inputs'!$B$15+'Inputs'!$B$77+'Inputs'!$B$16)/12</f>
        <v>553675.8333333331</v>
      </c>
      <c r="Y33" s="3">
        <f>MAX(Y32,ROUNDUP((J33+K33)/'Inputs'!$B$9,0))</f>
        <v>32</v>
      </c>
      <c r="Z33" s="3">
        <f>Y33*'Inputs'!$B$8/12</f>
        <v>480000.0</v>
      </c>
      <c r="AA33" s="3">
        <f>W33+X33+Z33</f>
        <v>1857325.8333333328</v>
      </c>
      <c r="AB33" s="3">
        <f>R33*('Inputs'!$B$19+'Inputs'!$B$20*'Inputs'!$B$21+'Inputs'!$B$22*'Inputs'!$B$11+'Inputs'!$B$23+'Inputs'!$B$24)</f>
        <v>188333.33333333334</v>
      </c>
      <c r="AC33" s="3">
        <f>U33*'Inputs'!$B$26</f>
        <v>285989.5833333332</v>
      </c>
      <c r="AD33" s="3">
        <f>AA33+AB33+AC33</f>
        <v>2331648.749999999</v>
      </c>
      <c r="AE33" s="3">
        <f>V33-AD33</f>
        <v>3608142.916666665</v>
      </c>
      <c r="AF33" s="3">
        <f>'Inputs'!$B$29/12</f>
        <v>18000.0</v>
      </c>
      <c r="AG33" s="3">
        <f>'Inputs'!$B$83/12</f>
        <v>125000.0</v>
      </c>
      <c r="AH33" s="3">
        <f>'Inputs'!$B$32/12</f>
        <v>20000.0</v>
      </c>
      <c r="AI33" s="3">
        <f>'Inputs'!$B$35/12</f>
        <v>8333.333333333334</v>
      </c>
      <c r="AJ33" s="3">
        <f>'Inputs'!$B$38/12</f>
        <v>10000.0</v>
      </c>
      <c r="AK33" s="3">
        <f>MAX(1,ROUNDUP((SUM($D$26:$D$37)+0.5*SUM($E$26:$E$37))/'Inputs'!$B$40,0))</f>
        <v>8</v>
      </c>
      <c r="AL33" s="3">
        <f>AK33*'Inputs'!$B$39/12</f>
        <v>120000.0</v>
      </c>
      <c r="AM33" s="3">
        <f>D33*'Inputs'!$B$41+E33*'Inputs'!$B$42</f>
        <v>70000</v>
      </c>
      <c r="AN33" s="3">
        <f>0</f>
        <v>0</v>
      </c>
      <c r="AO33" s="3">
        <f>AF33+AG33+AH33+AI33+AJ33+AL33+AM33+AN33</f>
        <v>371333.3333333334</v>
      </c>
      <c r="AP33" s="3">
        <f>AE33-AO33</f>
        <v>3236809.5833333316</v>
      </c>
      <c r="AQ33" s="3">
        <f>(D33+L33)*'Inputs'!$B$74/4</f>
        <v>4575000.0</v>
      </c>
      <c r="AR33" s="3">
        <f>(E33*'Inputs'!$B$25+R33*(1-'Inputs'!$B$25))*'Inputs'!$B$75</f>
        <v>220000.0</v>
      </c>
      <c r="AS33" s="3">
        <f>AQ33+AR33+U33</f>
        <v>5938958.333333333</v>
      </c>
      <c r="AT33" s="3">
        <f>IF(A33&gt;'Inputs'!$B$5,INDEX($AS$2:$AS$37,MAX(1,A33-'Inputs'!$B$5)),0)</f>
        <v>5932291.666666666</v>
      </c>
      <c r="AU33" s="3">
        <f>'Inputs'!$B$76*(O33*'Inputs'!$B$53+P33*(1-'Inputs'!$B$53)/3+Q33/4)</f>
        <v>1005599.9999999999</v>
      </c>
      <c r="AV33" s="3">
        <f>(E33+E32)*('Inputs'!$B$19+'Inputs'!$B$20*'Inputs'!$B$21+'Inputs'!$B$22*'Inputs'!$B$11+'Inputs'!$B$23+'Inputs'!$B$24)/2</f>
        <v>141250.0</v>
      </c>
      <c r="AW33" s="3">
        <f>AU33+X33+Z33+AV33+AC33+AO33</f>
        <v>2837848.7499999995</v>
      </c>
      <c r="AX33" s="3">
        <f>AT33-AW33</f>
        <v>3094442.9166666665</v>
      </c>
      <c r="AY33" s="3">
        <f>AY32+AX33</f>
        <v>20370265.833333332</v>
      </c>
      <c r="AZ33" s="3">
        <f>AZ32+AS33-AT33</f>
        <v>11497916.666666666</v>
      </c>
      <c r="BA33" s="3">
        <f>BA32+AQ33+AR33-S33-T33</f>
        <v>6831666.66666668</v>
      </c>
      <c r="BB33" s="3">
        <f>BB32+AU33-W33</f>
        <v>2508000.0000000023</v>
      </c>
      <c r="BC33" s="3">
        <f>BC32+AV33-AB33</f>
        <v>188333.33333333328</v>
      </c>
      <c r="BD33" s="3">
        <f>J33*'Inputs'!$B$74</f>
        <v>54909999.99999998</v>
      </c>
      <c r="BE33" s="3">
        <f>(J33+K33)/'Inputs'!$B$9</f>
        <v>31.454999999999988</v>
      </c>
      <c r="BF33" s="3">
        <f>J33*'Inputs'!$B$12</f>
        <v>10.981999999999996</v>
      </c>
      <c r="BG33" s="3">
        <f>J33*'Inputs'!$B$14</f>
        <v>10.981999999999996</v>
      </c>
      <c r="BH33" s="3">
        <f>J33*'Inputs'!$B$10/12+E33*'Inputs'!$B$22</f>
        <v>57.091666666666654</v>
      </c>
      <c r="BI33" s="3">
        <f>'Inputs'!$B$6*'Inputs'!$B$7*(F33*('Inputs'!$B$49+'Inputs'!$B$47)+L33*('Inputs'!$B$49+'Inputs'!$B$48))+E33*'Inputs'!$B$46*'Inputs'!$B$18</f>
        <v>42976.0</v>
      </c>
    </row>
    <row r="34" spans="1:61">
      <c r="A34">
        <v>33</v>
      </c>
      <c r="B34" t="s">
        <v>208</v>
      </c>
      <c r="C34">
        <v>3</v>
      </c>
      <c r="D34" s="2">
        <v>4</v>
      </c>
      <c r="E34" s="2">
        <v>2</v>
      </c>
      <c r="F34" s="3">
        <f>IF(A34&gt;'Inputs'!$B$3,INDEX($D$2:$D$37,MAX(1,A34-'Inputs'!$B$3)),0)</f>
        <v>4</v>
      </c>
      <c r="G34" s="3">
        <f>F22+H22</f>
        <v>2.9</v>
      </c>
      <c r="H34" s="3">
        <f>G34*(1-'Inputs'!$B$78)</f>
        <v>2.61</v>
      </c>
      <c r="I34" s="3">
        <f>G34-H34</f>
        <v>0.29000000000000004</v>
      </c>
      <c r="J34" s="3">
        <f>J33+F34-I34</f>
        <v>58.619999999999976</v>
      </c>
      <c r="K34" s="3">
        <f>SUM($D$2:D34)-SUM($F$2:F34)</f>
        <v>8</v>
      </c>
      <c r="L34" s="3">
        <f>F31+H31+F28+H28+F25+H25+H34</f>
        <v>17.92</v>
      </c>
      <c r="M34" s="3">
        <f>F34+L34</f>
        <v>21.92</v>
      </c>
      <c r="N34" s="3">
        <f>IF(A34+1&gt;'Inputs'!$B$3,INDEX($D$2:$D$37,MAX(1,A34+1-'Inputs'!$B$3)),0)+F32+H32+F29+H29+F26+H26+(F23+H23)*(1-'Inputs'!$B$78)</f>
        <v>21.11</v>
      </c>
      <c r="O34" s="3">
        <f>IF(A34+1&gt;'Inputs'!$B$3,INDEX($D$2:$D$37,MAX(1,A34+1-'Inputs'!$B$3)),0)</f>
        <v>4</v>
      </c>
      <c r="P34" s="3">
        <f>F32+F29+F26</f>
        <v>10</v>
      </c>
      <c r="Q34" s="3">
        <f>H32+H29+H26+(F23+H23)*(1-'Inputs'!$B$78)</f>
        <v>7.109999999999999</v>
      </c>
      <c r="R34" s="3">
        <f>IF(A34&gt;'Inputs'!$B$4,INDEX($E$2:$E$37,MAX(1,A34-'Inputs'!$B$4)),0)</f>
        <v>1</v>
      </c>
      <c r="S34" s="3">
        <f>J34*'Inputs'!$B$74/12</f>
        <v>4884999.999999998</v>
      </c>
      <c r="T34" s="3">
        <f>R34*'Inputs'!$B$75</f>
        <v>110000</v>
      </c>
      <c r="U34" s="3">
        <f>S34*IF(C34&gt;1,'Inputs'!$B$80,0)</f>
        <v>1221249.9999999995</v>
      </c>
      <c r="V34" s="3">
        <f>SUM(S34:U34)</f>
        <v>6216249.999999998</v>
      </c>
      <c r="W34" s="3">
        <f>J34*'Inputs'!$B$76/12</f>
        <v>879299.9999999997</v>
      </c>
      <c r="X34" s="3">
        <f>J34*('Inputs'!$B$76*'Inputs'!$B$17+'Inputs'!$B$10*'Inputs'!$B$11+'Inputs'!$B$12*'Inputs'!$B$13+'Inputs'!$B$14*'Inputs'!$B$15+'Inputs'!$B$77+'Inputs'!$B$16)/12</f>
        <v>591084.9999999998</v>
      </c>
      <c r="Y34" s="3">
        <f>MAX(Y33,ROUNDUP((J34+K34)/'Inputs'!$B$9,0))</f>
        <v>34</v>
      </c>
      <c r="Z34" s="3">
        <f>Y34*'Inputs'!$B$8/12</f>
        <v>510000.0</v>
      </c>
      <c r="AA34" s="3">
        <f>W34+X34+Z34</f>
        <v>1980384.9999999995</v>
      </c>
      <c r="AB34" s="3">
        <f>R34*('Inputs'!$B$19+'Inputs'!$B$20*'Inputs'!$B$21+'Inputs'!$B$22*'Inputs'!$B$11+'Inputs'!$B$23+'Inputs'!$B$24)</f>
        <v>94166.66666666667</v>
      </c>
      <c r="AC34" s="3">
        <f>U34*'Inputs'!$B$26</f>
        <v>305312.4999999999</v>
      </c>
      <c r="AD34" s="3">
        <f>AA34+AB34+AC34</f>
        <v>2379864.166666666</v>
      </c>
      <c r="AE34" s="3">
        <f>V34-AD34</f>
        <v>3836385.833333332</v>
      </c>
      <c r="AF34" s="3">
        <f>'Inputs'!$B$29/12</f>
        <v>18000.0</v>
      </c>
      <c r="AG34" s="3">
        <f>'Inputs'!$B$83/12</f>
        <v>125000.0</v>
      </c>
      <c r="AH34" s="3">
        <f>'Inputs'!$B$32/12</f>
        <v>20000.0</v>
      </c>
      <c r="AI34" s="3">
        <f>'Inputs'!$B$35/12</f>
        <v>8333.333333333334</v>
      </c>
      <c r="AJ34" s="3">
        <f>'Inputs'!$B$38/12</f>
        <v>10000.0</v>
      </c>
      <c r="AK34" s="3">
        <f>MAX(1,ROUNDUP((SUM($D$26:$D$37)+0.5*SUM($E$26:$E$37))/'Inputs'!$B$40,0))</f>
        <v>8</v>
      </c>
      <c r="AL34" s="3">
        <f>AK34*'Inputs'!$B$39/12</f>
        <v>120000.0</v>
      </c>
      <c r="AM34" s="3">
        <f>D34*'Inputs'!$B$41+E34*'Inputs'!$B$42</f>
        <v>70000</v>
      </c>
      <c r="AN34" s="3">
        <f>0</f>
        <v>0</v>
      </c>
      <c r="AO34" s="3">
        <f>AF34+AG34+AH34+AI34+AJ34+AL34+AM34+AN34</f>
        <v>371333.3333333334</v>
      </c>
      <c r="AP34" s="3">
        <f>AE34-AO34</f>
        <v>3465052.4999999986</v>
      </c>
      <c r="AQ34" s="3">
        <f>(D34+L34)*'Inputs'!$B$74/4</f>
        <v>5480000.0</v>
      </c>
      <c r="AR34" s="3">
        <f>(E34*'Inputs'!$B$25+R34*(1-'Inputs'!$B$25))*'Inputs'!$B$75</f>
        <v>165000.0</v>
      </c>
      <c r="AS34" s="3">
        <f>AQ34+AR34+U34</f>
        <v>6866250.0</v>
      </c>
      <c r="AT34" s="3">
        <f>IF(A34&gt;'Inputs'!$B$5,INDEX($AS$2:$AS$37,MAX(1,A34-'Inputs'!$B$5)),0)</f>
        <v>5558958.333333333</v>
      </c>
      <c r="AU34" s="3">
        <f>'Inputs'!$B$76*(O34*'Inputs'!$B$53+P34*(1-'Inputs'!$B$53)/3+Q34/4)</f>
        <v>969149.9999999999</v>
      </c>
      <c r="AV34" s="3">
        <f>(E34+E33)*('Inputs'!$B$19+'Inputs'!$B$20*'Inputs'!$B$21+'Inputs'!$B$22*'Inputs'!$B$11+'Inputs'!$B$23+'Inputs'!$B$24)/2</f>
        <v>188333.33333333334</v>
      </c>
      <c r="AW34" s="3">
        <f>AU34+X34+Z34+AV34+AC34+AO34</f>
        <v>2935214.1666666665</v>
      </c>
      <c r="AX34" s="3">
        <f>AT34-AW34</f>
        <v>2623744.1666666665</v>
      </c>
      <c r="AY34" s="3">
        <f>AY33+AX34</f>
        <v>22994010.0</v>
      </c>
      <c r="AZ34" s="3">
        <f>AZ33+AS34-AT34</f>
        <v>12805208.333333332</v>
      </c>
      <c r="BA34" s="3">
        <f>BA33+AQ34+AR34-S34-T34</f>
        <v>7481666.666666681</v>
      </c>
      <c r="BB34" s="3">
        <f>BB33+AU34-W34</f>
        <v>2597850.000000003</v>
      </c>
      <c r="BC34" s="3">
        <f>BC33+AV34-AB34</f>
        <v>282499.99999999994</v>
      </c>
      <c r="BD34" s="3">
        <f>J34*'Inputs'!$B$74</f>
        <v>58619999.99999998</v>
      </c>
      <c r="BE34" s="3">
        <f>(J34+K34)/'Inputs'!$B$9</f>
        <v>33.30999999999999</v>
      </c>
      <c r="BF34" s="3">
        <f>J34*'Inputs'!$B$12</f>
        <v>11.723999999999997</v>
      </c>
      <c r="BG34" s="3">
        <f>J34*'Inputs'!$B$14</f>
        <v>11.723999999999997</v>
      </c>
      <c r="BH34" s="3">
        <f>J34*'Inputs'!$B$10/12+E34*'Inputs'!$B$22</f>
        <v>60.18333333333332</v>
      </c>
      <c r="BI34" s="3">
        <f>'Inputs'!$B$6*'Inputs'!$B$7*(F34*('Inputs'!$B$49+'Inputs'!$B$47)+L34*('Inputs'!$B$49+'Inputs'!$B$48))+E34*'Inputs'!$B$46*'Inputs'!$B$18</f>
        <v>47526.4</v>
      </c>
    </row>
    <row r="35" spans="1:61">
      <c r="A35">
        <v>34</v>
      </c>
      <c r="B35" t="s">
        <v>209</v>
      </c>
      <c r="C35">
        <v>3</v>
      </c>
      <c r="D35" s="2">
        <v>4</v>
      </c>
      <c r="E35" s="2">
        <v>1</v>
      </c>
      <c r="F35" s="3">
        <f>IF(A35&gt;'Inputs'!$B$3,INDEX($D$2:$D$37,MAX(1,A35-'Inputs'!$B$3)),0)</f>
        <v>4</v>
      </c>
      <c r="G35" s="3">
        <f>F23+H23</f>
        <v>2.9</v>
      </c>
      <c r="H35" s="3">
        <f>G35*(1-'Inputs'!$B$78)</f>
        <v>2.61</v>
      </c>
      <c r="I35" s="3">
        <f>G35-H35</f>
        <v>0.29000000000000004</v>
      </c>
      <c r="J35" s="3">
        <f>J34+F35-I35</f>
        <v>62.32999999999998</v>
      </c>
      <c r="K35" s="3">
        <f>SUM($D$2:D35)-SUM($F$2:F35)</f>
        <v>8</v>
      </c>
      <c r="L35" s="3">
        <f>F32+H32+F29+H29+F26+H26+H35</f>
        <v>17.11</v>
      </c>
      <c r="M35" s="3">
        <f>F35+L35</f>
        <v>21.11</v>
      </c>
      <c r="N35" s="3">
        <f>IF(A35+1&gt;'Inputs'!$B$3,INDEX($D$2:$D$37,MAX(1,A35+1-'Inputs'!$B$3)),0)+F33+H33+F30+H30+F27+H27+(F24+H24)*(1-'Inputs'!$B$78)</f>
        <v>23.009999999999998</v>
      </c>
      <c r="O35" s="3">
        <f>IF(A35+1&gt;'Inputs'!$B$3,INDEX($D$2:$D$37,MAX(1,A35+1-'Inputs'!$B$3)),0)</f>
        <v>4</v>
      </c>
      <c r="P35" s="3">
        <f>F33+F30+F27</f>
        <v>11</v>
      </c>
      <c r="Q35" s="3">
        <f>H33+H30+H27+(F24+H24)*(1-'Inputs'!$B$78)</f>
        <v>8.01</v>
      </c>
      <c r="R35" s="3">
        <f>IF(A35&gt;'Inputs'!$B$4,INDEX($E$2:$E$37,MAX(1,A35-'Inputs'!$B$4)),0)</f>
        <v>2</v>
      </c>
      <c r="S35" s="3">
        <f>J35*'Inputs'!$B$74/12</f>
        <v>5194166.666666665</v>
      </c>
      <c r="T35" s="3">
        <f>R35*'Inputs'!$B$75</f>
        <v>220000</v>
      </c>
      <c r="U35" s="3">
        <f>S35*IF(C35&gt;1,'Inputs'!$B$80,0)</f>
        <v>1298541.6666666663</v>
      </c>
      <c r="V35" s="3">
        <f>SUM(S35:U35)</f>
        <v>6712708.333333331</v>
      </c>
      <c r="W35" s="3">
        <f>J35*'Inputs'!$B$76/12</f>
        <v>934949.9999999997</v>
      </c>
      <c r="X35" s="3">
        <f>J35*('Inputs'!$B$76*'Inputs'!$B$17+'Inputs'!$B$10*'Inputs'!$B$11+'Inputs'!$B$12*'Inputs'!$B$13+'Inputs'!$B$14*'Inputs'!$B$15+'Inputs'!$B$77+'Inputs'!$B$16)/12</f>
        <v>628494.1666666664</v>
      </c>
      <c r="Y35" s="3">
        <f>MAX(Y34,ROUNDUP((J35+K35)/'Inputs'!$B$9,0))</f>
        <v>36</v>
      </c>
      <c r="Z35" s="3">
        <f>Y35*'Inputs'!$B$8/12</f>
        <v>540000.0</v>
      </c>
      <c r="AA35" s="3">
        <f>W35+X35+Z35</f>
        <v>2103444.166666666</v>
      </c>
      <c r="AB35" s="3">
        <f>R35*('Inputs'!$B$19+'Inputs'!$B$20*'Inputs'!$B$21+'Inputs'!$B$22*'Inputs'!$B$11+'Inputs'!$B$23+'Inputs'!$B$24)</f>
        <v>188333.33333333334</v>
      </c>
      <c r="AC35" s="3">
        <f>U35*'Inputs'!$B$26</f>
        <v>324635.41666666657</v>
      </c>
      <c r="AD35" s="3">
        <f>AA35+AB35+AC35</f>
        <v>2616412.916666666</v>
      </c>
      <c r="AE35" s="3">
        <f>V35-AD35</f>
        <v>4096295.416666665</v>
      </c>
      <c r="AF35" s="3">
        <f>'Inputs'!$B$29/12</f>
        <v>18000.0</v>
      </c>
      <c r="AG35" s="3">
        <f>'Inputs'!$B$83/12</f>
        <v>125000.0</v>
      </c>
      <c r="AH35" s="3">
        <f>'Inputs'!$B$32/12</f>
        <v>20000.0</v>
      </c>
      <c r="AI35" s="3">
        <f>'Inputs'!$B$35/12</f>
        <v>8333.333333333334</v>
      </c>
      <c r="AJ35" s="3">
        <f>'Inputs'!$B$38/12</f>
        <v>10000.0</v>
      </c>
      <c r="AK35" s="3">
        <f>MAX(1,ROUNDUP((SUM($D$26:$D$37)+0.5*SUM($E$26:$E$37))/'Inputs'!$B$40,0))</f>
        <v>8</v>
      </c>
      <c r="AL35" s="3">
        <f>AK35*'Inputs'!$B$39/12</f>
        <v>120000.0</v>
      </c>
      <c r="AM35" s="3">
        <f>D35*'Inputs'!$B$41+E35*'Inputs'!$B$42</f>
        <v>65000</v>
      </c>
      <c r="AN35" s="3">
        <f>0</f>
        <v>0</v>
      </c>
      <c r="AO35" s="3">
        <f>AF35+AG35+AH35+AI35+AJ35+AL35+AM35+AN35</f>
        <v>366333.3333333334</v>
      </c>
      <c r="AP35" s="3">
        <f>AE35-AO35</f>
        <v>3729962.0833333316</v>
      </c>
      <c r="AQ35" s="3">
        <f>(D35+L35)*'Inputs'!$B$74/4</f>
        <v>5277500.0</v>
      </c>
      <c r="AR35" s="3">
        <f>(E35*'Inputs'!$B$25+R35*(1-'Inputs'!$B$25))*'Inputs'!$B$75</f>
        <v>165000.0</v>
      </c>
      <c r="AS35" s="3">
        <f>AQ35+AR35+U35</f>
        <v>6741041.666666666</v>
      </c>
      <c r="AT35" s="3">
        <f>IF(A35&gt;'Inputs'!$B$5,INDEX($AS$2:$AS$37,MAX(1,A35-'Inputs'!$B$5)),0)</f>
        <v>5938958.333333333</v>
      </c>
      <c r="AU35" s="3">
        <f>'Inputs'!$B$76*(O35*'Inputs'!$B$53+P35*(1-'Inputs'!$B$53)/3+Q35/4)</f>
        <v>1045050.0000000001</v>
      </c>
      <c r="AV35" s="3">
        <f>(E35+E34)*('Inputs'!$B$19+'Inputs'!$B$20*'Inputs'!$B$21+'Inputs'!$B$22*'Inputs'!$B$11+'Inputs'!$B$23+'Inputs'!$B$24)/2</f>
        <v>141250.0</v>
      </c>
      <c r="AW35" s="3">
        <f>AU35+X35+Z35+AV35+AC35+AO35</f>
        <v>3045762.9166666665</v>
      </c>
      <c r="AX35" s="3">
        <f>AT35-AW35</f>
        <v>2893195.4166666665</v>
      </c>
      <c r="AY35" s="3">
        <f>AY34+AX35</f>
        <v>25887205.416666668</v>
      </c>
      <c r="AZ35" s="3">
        <f>AZ34+AS35-AT35</f>
        <v>13607291.666666668</v>
      </c>
      <c r="BA35" s="3">
        <f>BA34+AQ35+AR35-S35-T35</f>
        <v>7510000.000000016</v>
      </c>
      <c r="BB35" s="3">
        <f>BB34+AU35-W35</f>
        <v>2707950.0000000033</v>
      </c>
      <c r="BC35" s="3">
        <f>BC34+AV35-AB35</f>
        <v>235416.6666666666</v>
      </c>
      <c r="BD35" s="3">
        <f>J35*'Inputs'!$B$74</f>
        <v>62329999.99999998</v>
      </c>
      <c r="BE35" s="3">
        <f>(J35+K35)/'Inputs'!$B$9</f>
        <v>35.16499999999999</v>
      </c>
      <c r="BF35" s="3">
        <f>J35*'Inputs'!$B$12</f>
        <v>12.465999999999996</v>
      </c>
      <c r="BG35" s="3">
        <f>J35*'Inputs'!$B$14</f>
        <v>12.465999999999996</v>
      </c>
      <c r="BH35" s="3">
        <f>J35*'Inputs'!$B$10/12+E35*'Inputs'!$B$22</f>
        <v>57.608333333333306</v>
      </c>
      <c r="BI35" s="3">
        <f>'Inputs'!$B$6*'Inputs'!$B$7*(F35*('Inputs'!$B$49+'Inputs'!$B$47)+L35*('Inputs'!$B$49+'Inputs'!$B$48))+E35*'Inputs'!$B$46*'Inputs'!$B$18</f>
        <v>44211.2</v>
      </c>
    </row>
    <row r="36" spans="1:61">
      <c r="A36">
        <v>35</v>
      </c>
      <c r="B36" t="s">
        <v>210</v>
      </c>
      <c r="C36">
        <v>3</v>
      </c>
      <c r="D36" s="2">
        <v>4</v>
      </c>
      <c r="E36" s="2">
        <v>2</v>
      </c>
      <c r="F36" s="3">
        <f>IF(A36&gt;'Inputs'!$B$3,INDEX($D$2:$D$37,MAX(1,A36-'Inputs'!$B$3)),0)</f>
        <v>4</v>
      </c>
      <c r="G36" s="3">
        <f>F24+H24</f>
        <v>2.9</v>
      </c>
      <c r="H36" s="3">
        <f>G36*(1-'Inputs'!$B$78)</f>
        <v>2.61</v>
      </c>
      <c r="I36" s="3">
        <f>G36-H36</f>
        <v>0.29000000000000004</v>
      </c>
      <c r="J36" s="3">
        <f>J35+F36-I36</f>
        <v>66.03999999999999</v>
      </c>
      <c r="K36" s="3">
        <f>SUM($D$2:D36)-SUM($F$2:F36)</f>
        <v>8</v>
      </c>
      <c r="L36" s="3">
        <f>F33+H33+F30+H30+F27+H27+H36</f>
        <v>19.009999999999998</v>
      </c>
      <c r="M36" s="3">
        <f>F36+L36</f>
        <v>23.009999999999998</v>
      </c>
      <c r="N36" s="3">
        <f>IF(A36+1&gt;'Inputs'!$B$3,INDEX($D$2:$D$37,MAX(1,A36+1-'Inputs'!$B$3)),0)+F34+H34+F31+H31+F28+H28+(F25+H25)*(1-'Inputs'!$B$78)</f>
        <v>25.63</v>
      </c>
      <c r="O36" s="3">
        <f>IF(A36+1&gt;'Inputs'!$B$3,INDEX($D$2:$D$37,MAX(1,A36+1-'Inputs'!$B$3)),0)</f>
        <v>4</v>
      </c>
      <c r="P36" s="3">
        <f>F34+F31+F28</f>
        <v>12</v>
      </c>
      <c r="Q36" s="3">
        <f>H34+H31+H28+(F25+H25)*(1-'Inputs'!$B$78)</f>
        <v>9.629999999999999</v>
      </c>
      <c r="R36" s="3">
        <f>IF(A36&gt;'Inputs'!$B$4,INDEX($E$2:$E$37,MAX(1,A36-'Inputs'!$B$4)),0)</f>
        <v>2</v>
      </c>
      <c r="S36" s="3">
        <f>J36*'Inputs'!$B$74/12</f>
        <v>5503333.333333333</v>
      </c>
      <c r="T36" s="3">
        <f>R36*'Inputs'!$B$75</f>
        <v>220000</v>
      </c>
      <c r="U36" s="3">
        <f>S36*IF(C36&gt;1,'Inputs'!$B$80,0)</f>
        <v>1375833.3333333333</v>
      </c>
      <c r="V36" s="3">
        <f>SUM(S36:U36)</f>
        <v>7099166.666666666</v>
      </c>
      <c r="W36" s="3">
        <f>J36*'Inputs'!$B$76/12</f>
        <v>990599.9999999999</v>
      </c>
      <c r="X36" s="3">
        <f>J36*('Inputs'!$B$76*'Inputs'!$B$17+'Inputs'!$B$10*'Inputs'!$B$11+'Inputs'!$B$12*'Inputs'!$B$13+'Inputs'!$B$14*'Inputs'!$B$15+'Inputs'!$B$77+'Inputs'!$B$16)/12</f>
        <v>665903.3333333333</v>
      </c>
      <c r="Y36" s="3">
        <f>MAX(Y35,ROUNDUP((J36+K36)/'Inputs'!$B$9,0))</f>
        <v>38</v>
      </c>
      <c r="Z36" s="3">
        <f>Y36*'Inputs'!$B$8/12</f>
        <v>570000.0</v>
      </c>
      <c r="AA36" s="3">
        <f>W36+X36+Z36</f>
        <v>2226503.333333333</v>
      </c>
      <c r="AB36" s="3">
        <f>R36*('Inputs'!$B$19+'Inputs'!$B$20*'Inputs'!$B$21+'Inputs'!$B$22*'Inputs'!$B$11+'Inputs'!$B$23+'Inputs'!$B$24)</f>
        <v>188333.33333333334</v>
      </c>
      <c r="AC36" s="3">
        <f>U36*'Inputs'!$B$26</f>
        <v>343958.3333333333</v>
      </c>
      <c r="AD36" s="3">
        <f>AA36+AB36+AC36</f>
        <v>2758795.0</v>
      </c>
      <c r="AE36" s="3">
        <f>V36-AD36</f>
        <v>4340371.666666666</v>
      </c>
      <c r="AF36" s="3">
        <f>'Inputs'!$B$29/12</f>
        <v>18000.0</v>
      </c>
      <c r="AG36" s="3">
        <f>'Inputs'!$B$83/12</f>
        <v>125000.0</v>
      </c>
      <c r="AH36" s="3">
        <f>'Inputs'!$B$32/12</f>
        <v>20000.0</v>
      </c>
      <c r="AI36" s="3">
        <f>'Inputs'!$B$35/12</f>
        <v>8333.333333333334</v>
      </c>
      <c r="AJ36" s="3">
        <f>'Inputs'!$B$38/12</f>
        <v>10000.0</v>
      </c>
      <c r="AK36" s="3">
        <f>MAX(1,ROUNDUP((SUM($D$26:$D$37)+0.5*SUM($E$26:$E$37))/'Inputs'!$B$40,0))</f>
        <v>8</v>
      </c>
      <c r="AL36" s="3">
        <f>AK36*'Inputs'!$B$39/12</f>
        <v>120000.0</v>
      </c>
      <c r="AM36" s="3">
        <f>D36*'Inputs'!$B$41+E36*'Inputs'!$B$42</f>
        <v>70000</v>
      </c>
      <c r="AN36" s="3">
        <f>0</f>
        <v>0</v>
      </c>
      <c r="AO36" s="3">
        <f>AF36+AG36+AH36+AI36+AJ36+AL36+AM36+AN36</f>
        <v>371333.3333333334</v>
      </c>
      <c r="AP36" s="3">
        <f>AE36-AO36</f>
        <v>3969038.3333333326</v>
      </c>
      <c r="AQ36" s="3">
        <f>(D36+L36)*'Inputs'!$B$74/4</f>
        <v>5752499.999999999</v>
      </c>
      <c r="AR36" s="3">
        <f>(E36*'Inputs'!$B$25+R36*(1-'Inputs'!$B$25))*'Inputs'!$B$75</f>
        <v>220000.0</v>
      </c>
      <c r="AS36" s="3">
        <f>AQ36+AR36+U36</f>
        <v>7348333.333333332</v>
      </c>
      <c r="AT36" s="3">
        <f>IF(A36&gt;'Inputs'!$B$5,INDEX($AS$2:$AS$37,MAX(1,A36-'Inputs'!$B$5)),0)</f>
        <v>6866250.0</v>
      </c>
      <c r="AU36" s="3">
        <f>'Inputs'!$B$76*(O36*'Inputs'!$B$53+P36*(1-'Inputs'!$B$53)/3+Q36/4)</f>
        <v>1153350.0</v>
      </c>
      <c r="AV36" s="3">
        <f>(E36+E35)*('Inputs'!$B$19+'Inputs'!$B$20*'Inputs'!$B$21+'Inputs'!$B$22*'Inputs'!$B$11+'Inputs'!$B$23+'Inputs'!$B$24)/2</f>
        <v>141250.0</v>
      </c>
      <c r="AW36" s="3">
        <f>AU36+X36+Z36+AV36+AC36+AO36</f>
        <v>3245795.0</v>
      </c>
      <c r="AX36" s="3">
        <f>AT36-AW36</f>
        <v>3620455.0</v>
      </c>
      <c r="AY36" s="3">
        <f>AY35+AX36</f>
        <v>29507660.416666668</v>
      </c>
      <c r="AZ36" s="3">
        <f>AZ35+AS36-AT36</f>
        <v>14089375.0</v>
      </c>
      <c r="BA36" s="3">
        <f>BA35+AQ36+AR36-S36-T36</f>
        <v>7759166.666666682</v>
      </c>
      <c r="BB36" s="3">
        <f>BB35+AU36-W36</f>
        <v>2870700.0000000033</v>
      </c>
      <c r="BC36" s="3">
        <f>BC35+AV36-AB36</f>
        <v>188333.33333333328</v>
      </c>
      <c r="BD36" s="3">
        <f>J36*'Inputs'!$B$74</f>
        <v>66039999.99999999</v>
      </c>
      <c r="BE36" s="3">
        <f>(J36+K36)/'Inputs'!$B$9</f>
        <v>37.019999999999996</v>
      </c>
      <c r="BF36" s="3">
        <f>J36*'Inputs'!$B$12</f>
        <v>13.207999999999998</v>
      </c>
      <c r="BG36" s="3">
        <f>J36*'Inputs'!$B$14</f>
        <v>13.207999999999998</v>
      </c>
      <c r="BH36" s="3">
        <f>J36*'Inputs'!$B$10/12+E36*'Inputs'!$B$22</f>
        <v>66.36666666666666</v>
      </c>
      <c r="BI36" s="3">
        <f>'Inputs'!$B$6*'Inputs'!$B$7*(F36*('Inputs'!$B$49+'Inputs'!$B$47)+L36*('Inputs'!$B$49+'Inputs'!$B$48))+E36*'Inputs'!$B$46*'Inputs'!$B$18</f>
        <v>49619.2</v>
      </c>
    </row>
    <row r="37" spans="1:61">
      <c r="A37">
        <v>36</v>
      </c>
      <c r="B37" t="s">
        <v>211</v>
      </c>
      <c r="C37">
        <v>3</v>
      </c>
      <c r="D37" s="2">
        <v>5</v>
      </c>
      <c r="E37" s="2">
        <v>2</v>
      </c>
      <c r="F37" s="3">
        <f>IF(A37&gt;'Inputs'!$B$3,INDEX($D$2:$D$37,MAX(1,A37-'Inputs'!$B$3)),0)</f>
        <v>4</v>
      </c>
      <c r="G37" s="3">
        <f>F25+H25</f>
        <v>2.9</v>
      </c>
      <c r="H37" s="3">
        <f>G37*(1-'Inputs'!$B$78)</f>
        <v>2.61</v>
      </c>
      <c r="I37" s="3">
        <f>G37-H37</f>
        <v>0.29000000000000004</v>
      </c>
      <c r="J37" s="3">
        <f>J36+F37-I37</f>
        <v>69.74999999999999</v>
      </c>
      <c r="K37" s="3">
        <f>SUM($D$2:D37)-SUM($F$2:F37)</f>
        <v>9</v>
      </c>
      <c r="L37" s="3">
        <f>F34+H34+F31+H31+F28+H28+H37</f>
        <v>21.63</v>
      </c>
      <c r="M37" s="3">
        <f>F37+L37</f>
        <v>25.63</v>
      </c>
      <c r="N37" s="3">
        <f>IF(A37+1&gt;'Inputs'!$B$3,INDEX($D$2:$D$37,MAX(1,A37+1-'Inputs'!$B$3)),0)+F35+H35+F32+H32+F29+H29+(F26+H26)*(1-'Inputs'!$B$78)</f>
        <v>24.82</v>
      </c>
      <c r="O37" s="3">
        <f>IF(A37+1&gt;'Inputs'!$B$3,INDEX($D$2:$D$37,MAX(1,A37+1-'Inputs'!$B$3)),0)</f>
        <v>4</v>
      </c>
      <c r="P37" s="3">
        <f>F35+F32+F29</f>
        <v>12</v>
      </c>
      <c r="Q37" s="3">
        <f>H35+H32+H29+(F26+H26)*(1-'Inputs'!$B$78)</f>
        <v>8.82</v>
      </c>
      <c r="R37" s="3">
        <f>IF(A37&gt;'Inputs'!$B$4,INDEX($E$2:$E$37,MAX(1,A37-'Inputs'!$B$4)),0)</f>
        <v>1</v>
      </c>
      <c r="S37" s="3">
        <f>J37*'Inputs'!$B$74/12</f>
        <v>5812499.999999999</v>
      </c>
      <c r="T37" s="3">
        <f>R37*'Inputs'!$B$75</f>
        <v>110000</v>
      </c>
      <c r="U37" s="3">
        <f>S37*IF(C37&gt;1,'Inputs'!$B$80,0)</f>
        <v>1453124.9999999998</v>
      </c>
      <c r="V37" s="3">
        <f>SUM(S37:U37)</f>
        <v>7375624.999999999</v>
      </c>
      <c r="W37" s="3">
        <f>J37*'Inputs'!$B$76/12</f>
        <v>1046249.9999999999</v>
      </c>
      <c r="X37" s="3">
        <f>J37*('Inputs'!$B$76*'Inputs'!$B$17+'Inputs'!$B$10*'Inputs'!$B$11+'Inputs'!$B$12*'Inputs'!$B$13+'Inputs'!$B$14*'Inputs'!$B$15+'Inputs'!$B$77+'Inputs'!$B$16)/12</f>
        <v>703312.4999999999</v>
      </c>
      <c r="Y37" s="3">
        <f>MAX(Y36,ROUNDUP((J37+K37)/'Inputs'!$B$9,0))</f>
        <v>40</v>
      </c>
      <c r="Z37" s="3">
        <f>Y37*'Inputs'!$B$8/12</f>
        <v>600000.0</v>
      </c>
      <c r="AA37" s="3">
        <f>W37+X37+Z37</f>
        <v>2349562.5</v>
      </c>
      <c r="AB37" s="3">
        <f>R37*('Inputs'!$B$19+'Inputs'!$B$20*'Inputs'!$B$21+'Inputs'!$B$22*'Inputs'!$B$11+'Inputs'!$B$23+'Inputs'!$B$24)</f>
        <v>94166.66666666667</v>
      </c>
      <c r="AC37" s="3">
        <f>U37*'Inputs'!$B$26</f>
        <v>363281.24999999994</v>
      </c>
      <c r="AD37" s="3">
        <f>AA37+AB37+AC37</f>
        <v>2807010.4166666665</v>
      </c>
      <c r="AE37" s="3">
        <f>V37-AD37</f>
        <v>4568614.583333332</v>
      </c>
      <c r="AF37" s="3">
        <f>'Inputs'!$B$29/12</f>
        <v>18000.0</v>
      </c>
      <c r="AG37" s="3">
        <f>'Inputs'!$B$83/12</f>
        <v>125000.0</v>
      </c>
      <c r="AH37" s="3">
        <f>'Inputs'!$B$32/12</f>
        <v>20000.0</v>
      </c>
      <c r="AI37" s="3">
        <f>'Inputs'!$B$35/12</f>
        <v>8333.333333333334</v>
      </c>
      <c r="AJ37" s="3">
        <f>'Inputs'!$B$38/12</f>
        <v>10000.0</v>
      </c>
      <c r="AK37" s="3">
        <f>MAX(1,ROUNDUP((SUM($D$26:$D$37)+0.5*SUM($E$26:$E$37))/'Inputs'!$B$40,0))</f>
        <v>8</v>
      </c>
      <c r="AL37" s="3">
        <f>AK37*'Inputs'!$B$39/12</f>
        <v>120000.0</v>
      </c>
      <c r="AM37" s="3">
        <f>D37*'Inputs'!$B$41+E37*'Inputs'!$B$42</f>
        <v>85000</v>
      </c>
      <c r="AN37" s="3">
        <f>0</f>
        <v>0</v>
      </c>
      <c r="AO37" s="3">
        <f>AF37+AG37+AH37+AI37+AJ37+AL37+AM37+AN37</f>
        <v>386333.3333333334</v>
      </c>
      <c r="AP37" s="3">
        <f>AE37-AO37</f>
        <v>4182281.2499999986</v>
      </c>
      <c r="AQ37" s="3">
        <f>(D37+L37)*'Inputs'!$B$74/4</f>
        <v>6657500.0</v>
      </c>
      <c r="AR37" s="3">
        <f>(E37*'Inputs'!$B$25+R37*(1-'Inputs'!$B$25))*'Inputs'!$B$75</f>
        <v>165000.0</v>
      </c>
      <c r="AS37" s="3">
        <f>AQ37+AR37+U37</f>
        <v>8275625.0</v>
      </c>
      <c r="AT37" s="3">
        <f>IF(A37&gt;'Inputs'!$B$5,INDEX($AS$2:$AS$37,MAX(1,A37-'Inputs'!$B$5)),0)</f>
        <v>6741041.666666666</v>
      </c>
      <c r="AU37" s="3">
        <f>'Inputs'!$B$76*(O37*'Inputs'!$B$53+P37*(1-'Inputs'!$B$53)/3+Q37/4)</f>
        <v>1116900.0</v>
      </c>
      <c r="AV37" s="3">
        <f>(E37+E36)*('Inputs'!$B$19+'Inputs'!$B$20*'Inputs'!$B$21+'Inputs'!$B$22*'Inputs'!$B$11+'Inputs'!$B$23+'Inputs'!$B$24)/2</f>
        <v>188333.33333333334</v>
      </c>
      <c r="AW37" s="3">
        <f>AU37+X37+Z37+AV37+AC37+AO37</f>
        <v>3358160.416666667</v>
      </c>
      <c r="AX37" s="3">
        <f>AT37-AW37</f>
        <v>3382881.249999999</v>
      </c>
      <c r="AY37" s="3">
        <f>AY36+AX37</f>
        <v>32890541.666666668</v>
      </c>
      <c r="AZ37" s="3">
        <f>AZ36+AS37-AT37</f>
        <v>15623958.333333334</v>
      </c>
      <c r="BA37" s="3">
        <f>BA36+AQ37+AR37-S37-T37</f>
        <v>8659166.666666683</v>
      </c>
      <c r="BB37" s="3">
        <f>BB36+AU37-W37</f>
        <v>2941350.0000000033</v>
      </c>
      <c r="BC37" s="3">
        <f>BC36+AV37-AB37</f>
        <v>282499.99999999994</v>
      </c>
      <c r="BD37" s="3">
        <f>J37*'Inputs'!$B$74</f>
        <v>69749999.99999999</v>
      </c>
      <c r="BE37" s="3">
        <f>(J37+K37)/'Inputs'!$B$9</f>
        <v>39.37499999999999</v>
      </c>
      <c r="BF37" s="3">
        <f>J37*'Inputs'!$B$12</f>
        <v>13.949999999999998</v>
      </c>
      <c r="BG37" s="3">
        <f>J37*'Inputs'!$B$14</f>
        <v>13.949999999999998</v>
      </c>
      <c r="BH37" s="3">
        <f>J37*'Inputs'!$B$10/12+E37*'Inputs'!$B$22</f>
        <v>69.45833333333333</v>
      </c>
      <c r="BI37" s="3">
        <f>'Inputs'!$B$6*'Inputs'!$B$7*(F37*('Inputs'!$B$49+'Inputs'!$B$47)+L37*('Inputs'!$B$49+'Inputs'!$B$48))+E37*'Inputs'!$B$46*'Inputs'!$B$18</f>
        <v>54649.59999999999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21" width="22.7109375" customWidth="1"/>
  </cols>
  <sheetData>
    <row r="1" spans="1:21">
      <c r="A1" s="1" t="s">
        <v>215</v>
      </c>
      <c r="B1" s="1" t="s">
        <v>216</v>
      </c>
      <c r="C1" s="1" t="s">
        <v>217</v>
      </c>
      <c r="D1" s="1" t="s">
        <v>22</v>
      </c>
      <c r="E1" s="1" t="s">
        <v>218</v>
      </c>
      <c r="F1" s="1" t="s">
        <v>219</v>
      </c>
      <c r="G1" s="1" t="s">
        <v>220</v>
      </c>
      <c r="H1" s="1" t="s">
        <v>221</v>
      </c>
      <c r="I1" s="1" t="s">
        <v>175</v>
      </c>
      <c r="J1" s="1" t="s">
        <v>222</v>
      </c>
      <c r="K1" s="1" t="s">
        <v>223</v>
      </c>
      <c r="L1" s="1" t="s">
        <v>224</v>
      </c>
      <c r="M1" s="1" t="s">
        <v>225</v>
      </c>
      <c r="N1" s="1" t="s">
        <v>226</v>
      </c>
      <c r="O1" s="1" t="s">
        <v>227</v>
      </c>
      <c r="P1" s="1" t="s">
        <v>228</v>
      </c>
      <c r="Q1" s="1" t="s">
        <v>229</v>
      </c>
      <c r="R1" s="1" t="s">
        <v>115</v>
      </c>
      <c r="S1" s="1" t="s">
        <v>230</v>
      </c>
      <c r="T1" s="1" t="s">
        <v>231</v>
      </c>
      <c r="U1" s="1" t="s">
        <v>232</v>
      </c>
    </row>
    <row r="2" spans="1:21">
      <c r="A2" t="s">
        <v>233</v>
      </c>
      <c r="B2" s="2">
        <v>1</v>
      </c>
      <c r="C2" s="2">
        <v>2</v>
      </c>
      <c r="D2" s="2">
        <v>3</v>
      </c>
      <c r="E2" s="2">
        <v>4</v>
      </c>
      <c r="F2" s="2">
        <v>0</v>
      </c>
      <c r="G2" s="2">
        <v>600000</v>
      </c>
      <c r="H2" s="2">
        <v>0.5</v>
      </c>
      <c r="I2" s="2">
        <v>10</v>
      </c>
      <c r="J2" s="2">
        <v>0.2</v>
      </c>
      <c r="K2" s="2">
        <v>0.2</v>
      </c>
      <c r="L2" s="2">
        <v>15000</v>
      </c>
      <c r="M2" s="2">
        <v>12000</v>
      </c>
      <c r="N2" s="3">
        <f>C2*D2*(E2*('Inputs'!$B$49+'Inputs'!$B$48)+B2*('Inputs'!$B$47-'Inputs'!$B$48))+C2*F2*150</f>
        <v>8160</v>
      </c>
      <c r="O2" s="3">
        <f>C2*D2*'Inputs'!$B$52*B2</f>
        <v>72</v>
      </c>
      <c r="P2" s="3">
        <f>N2*'Inputs'!$B$50+O2*'Inputs'!$B$51</f>
        <v>219600.0</v>
      </c>
      <c r="Q2" s="3">
        <f>P2*(1+'Inputs'!$B$17)+H2*'Inputs'!$B$8+I2*'Inputs'!$B$11+J2*'Inputs'!$B$13+K2*'Inputs'!$B$15+L2+M2</f>
        <v>439560.0</v>
      </c>
      <c r="R2" s="4">
        <f>1-Q2/G2</f>
        <v>0.26739999999999997</v>
      </c>
      <c r="S2" s="3">
        <f>Q2/0.45</f>
        <v>976800.0</v>
      </c>
      <c r="T2" s="3">
        <f>Q2/0.4</f>
        <v>1098900.0</v>
      </c>
      <c r="U2" s="3">
        <f>Q2/0.35</f>
        <v>1255885.7142857143</v>
      </c>
    </row>
    <row r="3" spans="1:21">
      <c r="A3" t="s">
        <v>233</v>
      </c>
      <c r="B3" s="2">
        <v>0</v>
      </c>
      <c r="C3" s="2">
        <v>2</v>
      </c>
      <c r="D3" s="2">
        <v>3</v>
      </c>
      <c r="E3" s="2">
        <v>4</v>
      </c>
      <c r="F3" s="2">
        <v>0</v>
      </c>
      <c r="G3" s="2">
        <v>600000</v>
      </c>
      <c r="H3" s="2">
        <v>0.5</v>
      </c>
      <c r="I3" s="2">
        <v>10</v>
      </c>
      <c r="J3" s="2">
        <v>0.2</v>
      </c>
      <c r="K3" s="2">
        <v>0.2</v>
      </c>
      <c r="L3" s="2">
        <v>15000</v>
      </c>
      <c r="M3" s="2">
        <v>12000</v>
      </c>
      <c r="N3" s="3">
        <f>C3*D3*(E3*('Inputs'!$B$49+'Inputs'!$B$48)+B3*('Inputs'!$B$47-'Inputs'!$B$48))+C3*F3*150</f>
        <v>7680</v>
      </c>
      <c r="O3" s="3">
        <f>C3*D3*'Inputs'!$B$52*B3</f>
        <v>0</v>
      </c>
      <c r="P3" s="3">
        <f>N3*'Inputs'!$B$50+O3*'Inputs'!$B$51</f>
        <v>172800.0</v>
      </c>
      <c r="Q3" s="3">
        <f>P3*(1+'Inputs'!$B$17)+H3*'Inputs'!$B$8+I3*'Inputs'!$B$11+J3*'Inputs'!$B$13+K3*'Inputs'!$B$15+L3+M3</f>
        <v>388080.0</v>
      </c>
      <c r="R3" s="4">
        <f>1-Q3/G3</f>
        <v>0.35319999999999996</v>
      </c>
      <c r="S3" s="3">
        <f>Q3/0.45</f>
        <v>862400.0</v>
      </c>
      <c r="T3" s="3">
        <f>Q3/0.4</f>
        <v>970200.0</v>
      </c>
      <c r="U3" s="3">
        <f>Q3/0.35</f>
        <v>1108800.0</v>
      </c>
    </row>
    <row r="4" spans="1:21">
      <c r="A4" t="s">
        <v>234</v>
      </c>
      <c r="B4" s="2">
        <v>1</v>
      </c>
      <c r="C4" s="2">
        <v>4</v>
      </c>
      <c r="D4" s="2">
        <v>6</v>
      </c>
      <c r="E4" s="2">
        <v>2</v>
      </c>
      <c r="F4" s="2">
        <v>10</v>
      </c>
      <c r="G4" s="2">
        <v>1200000</v>
      </c>
      <c r="H4" s="2">
        <v>1.25</v>
      </c>
      <c r="I4" s="2">
        <v>25</v>
      </c>
      <c r="J4" s="2">
        <v>0.4</v>
      </c>
      <c r="K4" s="2">
        <v>0.4</v>
      </c>
      <c r="L4" s="2">
        <v>30000</v>
      </c>
      <c r="M4" s="2">
        <v>24000</v>
      </c>
      <c r="N4" s="3">
        <f>C4*D4*(E4*('Inputs'!$B$49+'Inputs'!$B$48)+B4*('Inputs'!$B$47-'Inputs'!$B$48))+C4*F4*150</f>
        <v>23280</v>
      </c>
      <c r="O4" s="3">
        <f>C4*D4*'Inputs'!$B$52*B4</f>
        <v>288</v>
      </c>
      <c r="P4" s="3">
        <f>N4*'Inputs'!$B$50+O4*'Inputs'!$B$51</f>
        <v>667800.0</v>
      </c>
      <c r="Q4" s="3">
        <f>P4*(1+'Inputs'!$B$17)+H4*'Inputs'!$B$8+I4*'Inputs'!$B$11+J4*'Inputs'!$B$13+K4*'Inputs'!$B$15+L4+M4</f>
        <v>1183080.0</v>
      </c>
      <c r="R4" s="4">
        <f>1-Q4/G4</f>
        <v>0.014100000000000001</v>
      </c>
      <c r="S4" s="3">
        <f>Q4/0.45</f>
        <v>2629066.6666666665</v>
      </c>
      <c r="T4" s="3">
        <f>Q4/0.4</f>
        <v>2957700.0</v>
      </c>
      <c r="U4" s="3">
        <f>Q4/0.35</f>
        <v>3380228.571428572</v>
      </c>
    </row>
    <row r="5" spans="1:21">
      <c r="A5" t="s">
        <v>234</v>
      </c>
      <c r="B5" s="2">
        <v>0</v>
      </c>
      <c r="C5" s="2">
        <v>4</v>
      </c>
      <c r="D5" s="2">
        <v>6</v>
      </c>
      <c r="E5" s="2">
        <v>2</v>
      </c>
      <c r="F5" s="2">
        <v>10</v>
      </c>
      <c r="G5" s="2">
        <v>1200000</v>
      </c>
      <c r="H5" s="2">
        <v>1.25</v>
      </c>
      <c r="I5" s="2">
        <v>25</v>
      </c>
      <c r="J5" s="2">
        <v>0.4</v>
      </c>
      <c r="K5" s="2">
        <v>0.4</v>
      </c>
      <c r="L5" s="2">
        <v>30000</v>
      </c>
      <c r="M5" s="2">
        <v>24000</v>
      </c>
      <c r="N5" s="3">
        <f>C5*D5*(E5*('Inputs'!$B$49+'Inputs'!$B$48)+B5*('Inputs'!$B$47-'Inputs'!$B$48))+C5*F5*150</f>
        <v>21360</v>
      </c>
      <c r="O5" s="3">
        <f>C5*D5*'Inputs'!$B$52*B5</f>
        <v>0</v>
      </c>
      <c r="P5" s="3">
        <f>N5*'Inputs'!$B$50+O5*'Inputs'!$B$51</f>
        <v>480600.0</v>
      </c>
      <c r="Q5" s="3">
        <f>P5*(1+'Inputs'!$B$17)+H5*'Inputs'!$B$8+I5*'Inputs'!$B$11+J5*'Inputs'!$B$13+K5*'Inputs'!$B$15+L5+M5</f>
        <v>977160.0</v>
      </c>
      <c r="R5" s="4">
        <f>1-Q5/G5</f>
        <v>0.18569999999999998</v>
      </c>
      <c r="S5" s="3">
        <f>Q5/0.45</f>
        <v>2171466.6666666665</v>
      </c>
      <c r="T5" s="3">
        <f>Q5/0.4</f>
        <v>2442900.0</v>
      </c>
      <c r="U5" s="3">
        <f>Q5/0.35</f>
        <v>2791885.7142857146</v>
      </c>
    </row>
    <row r="6" spans="1:21">
      <c r="A6" t="s">
        <v>235</v>
      </c>
      <c r="B6" s="2">
        <v>1</v>
      </c>
      <c r="C6" s="2">
        <v>4</v>
      </c>
      <c r="D6" s="2">
        <v>6</v>
      </c>
      <c r="E6" s="2">
        <v>2</v>
      </c>
      <c r="F6" s="2">
        <v>10</v>
      </c>
      <c r="G6" s="2">
        <v>1500000</v>
      </c>
      <c r="H6" s="2">
        <v>1.25</v>
      </c>
      <c r="I6" s="2">
        <v>25</v>
      </c>
      <c r="J6" s="2">
        <v>0.4</v>
      </c>
      <c r="K6" s="2">
        <v>0.4</v>
      </c>
      <c r="L6" s="2">
        <v>30000</v>
      </c>
      <c r="M6" s="2">
        <v>24000</v>
      </c>
      <c r="N6" s="3">
        <f>C6*D6*(E6*('Inputs'!$B$49+'Inputs'!$B$48)+B6*('Inputs'!$B$47-'Inputs'!$B$48))+C6*F6*150</f>
        <v>23280</v>
      </c>
      <c r="O6" s="3">
        <f>C6*D6*'Inputs'!$B$52*B6</f>
        <v>288</v>
      </c>
      <c r="P6" s="3">
        <f>N6*'Inputs'!$B$50+O6*'Inputs'!$B$51</f>
        <v>667800.0</v>
      </c>
      <c r="Q6" s="3">
        <f>P6*(1+'Inputs'!$B$17)+H6*'Inputs'!$B$8+I6*'Inputs'!$B$11+J6*'Inputs'!$B$13+K6*'Inputs'!$B$15+L6+M6</f>
        <v>1183080.0</v>
      </c>
      <c r="R6" s="4">
        <f>1-Q6/G6</f>
        <v>0.21128000000000002</v>
      </c>
      <c r="S6" s="3">
        <f>Q6/0.45</f>
        <v>2629066.6666666665</v>
      </c>
      <c r="T6" s="3">
        <f>Q6/0.4</f>
        <v>2957700.0</v>
      </c>
      <c r="U6" s="3">
        <f>Q6/0.35</f>
        <v>3380228.571428572</v>
      </c>
    </row>
    <row r="7" spans="1:21">
      <c r="A7" t="s">
        <v>235</v>
      </c>
      <c r="B7" s="2">
        <v>0</v>
      </c>
      <c r="C7" s="2">
        <v>4</v>
      </c>
      <c r="D7" s="2">
        <v>6</v>
      </c>
      <c r="E7" s="2">
        <v>2</v>
      </c>
      <c r="F7" s="2">
        <v>10</v>
      </c>
      <c r="G7" s="2">
        <v>1500000</v>
      </c>
      <c r="H7" s="2">
        <v>1.25</v>
      </c>
      <c r="I7" s="2">
        <v>25</v>
      </c>
      <c r="J7" s="2">
        <v>0.4</v>
      </c>
      <c r="K7" s="2">
        <v>0.4</v>
      </c>
      <c r="L7" s="2">
        <v>30000</v>
      </c>
      <c r="M7" s="2">
        <v>24000</v>
      </c>
      <c r="N7" s="3">
        <f>C7*D7*(E7*('Inputs'!$B$49+'Inputs'!$B$48)+B7*('Inputs'!$B$47-'Inputs'!$B$48))+C7*F7*150</f>
        <v>21360</v>
      </c>
      <c r="O7" s="3">
        <f>C7*D7*'Inputs'!$B$52*B7</f>
        <v>0</v>
      </c>
      <c r="P7" s="3">
        <f>N7*'Inputs'!$B$50+O7*'Inputs'!$B$51</f>
        <v>480600.0</v>
      </c>
      <c r="Q7" s="3">
        <f>P7*(1+'Inputs'!$B$17)+H7*'Inputs'!$B$8+I7*'Inputs'!$B$11+J7*'Inputs'!$B$13+K7*'Inputs'!$B$15+L7+M7</f>
        <v>977160.0</v>
      </c>
      <c r="R7" s="4">
        <f>1-Q7/G7</f>
        <v>0.34856</v>
      </c>
      <c r="S7" s="3">
        <f>Q7/0.45</f>
        <v>2171466.6666666665</v>
      </c>
      <c r="T7" s="3">
        <f>Q7/0.4</f>
        <v>2442900.0</v>
      </c>
      <c r="U7" s="3">
        <f>Q7/0.35</f>
        <v>2791885.7142857146</v>
      </c>
    </row>
    <row r="8" spans="1:21">
      <c r="A8" t="s">
        <v>236</v>
      </c>
      <c r="B8" s="2">
        <v>1</v>
      </c>
      <c r="C8" s="2">
        <v>4</v>
      </c>
      <c r="D8" s="2">
        <v>6</v>
      </c>
      <c r="E8" s="2">
        <v>4</v>
      </c>
      <c r="F8" s="2">
        <v>8</v>
      </c>
      <c r="G8" s="2">
        <v>1200000</v>
      </c>
      <c r="H8" s="2">
        <v>2.25</v>
      </c>
      <c r="I8" s="2">
        <v>45</v>
      </c>
      <c r="J8" s="2">
        <v>0.4</v>
      </c>
      <c r="K8" s="2">
        <v>0.4</v>
      </c>
      <c r="L8" s="2">
        <v>30000</v>
      </c>
      <c r="M8" s="2">
        <v>24000</v>
      </c>
      <c r="N8" s="3">
        <f>C8*D8*(E8*('Inputs'!$B$49+'Inputs'!$B$48)+B8*('Inputs'!$B$47-'Inputs'!$B$48))+C8*F8*150</f>
        <v>37440</v>
      </c>
      <c r="O8" s="3">
        <f>C8*D8*'Inputs'!$B$52*B8</f>
        <v>288</v>
      </c>
      <c r="P8" s="3">
        <f>N8*'Inputs'!$B$50+O8*'Inputs'!$B$51</f>
        <v>986400.0</v>
      </c>
      <c r="Q8" s="3">
        <f>P8*(1+'Inputs'!$B$17)+H8*'Inputs'!$B$8+I8*'Inputs'!$B$11+J8*'Inputs'!$B$13+K8*'Inputs'!$B$15+L8+M8</f>
        <v>1743540.0</v>
      </c>
      <c r="R8" s="4">
        <f>1-Q8/G8</f>
        <v>-0.45294999999999996</v>
      </c>
      <c r="S8" s="3">
        <f>Q8/0.45</f>
        <v>3874533.333333333</v>
      </c>
      <c r="T8" s="3">
        <f>Q8/0.4</f>
        <v>4358850.0</v>
      </c>
      <c r="U8" s="3">
        <f>Q8/0.35</f>
        <v>4981542.857142857</v>
      </c>
    </row>
    <row r="9" spans="1:21">
      <c r="A9" t="s">
        <v>236</v>
      </c>
      <c r="B9" s="2">
        <v>0</v>
      </c>
      <c r="C9" s="2">
        <v>4</v>
      </c>
      <c r="D9" s="2">
        <v>6</v>
      </c>
      <c r="E9" s="2">
        <v>4</v>
      </c>
      <c r="F9" s="2">
        <v>8</v>
      </c>
      <c r="G9" s="2">
        <v>1200000</v>
      </c>
      <c r="H9" s="2">
        <v>2.25</v>
      </c>
      <c r="I9" s="2">
        <v>45</v>
      </c>
      <c r="J9" s="2">
        <v>0.4</v>
      </c>
      <c r="K9" s="2">
        <v>0.4</v>
      </c>
      <c r="L9" s="2">
        <v>30000</v>
      </c>
      <c r="M9" s="2">
        <v>24000</v>
      </c>
      <c r="N9" s="3">
        <f>C9*D9*(E9*('Inputs'!$B$49+'Inputs'!$B$48)+B9*('Inputs'!$B$47-'Inputs'!$B$48))+C9*F9*150</f>
        <v>35520</v>
      </c>
      <c r="O9" s="3">
        <f>C9*D9*'Inputs'!$B$52*B9</f>
        <v>0</v>
      </c>
      <c r="P9" s="3">
        <f>N9*'Inputs'!$B$50+O9*'Inputs'!$B$51</f>
        <v>799200.0</v>
      </c>
      <c r="Q9" s="3">
        <f>P9*(1+'Inputs'!$B$17)+H9*'Inputs'!$B$8+I9*'Inputs'!$B$11+J9*'Inputs'!$B$13+K9*'Inputs'!$B$15+L9+M9</f>
        <v>1537620.0</v>
      </c>
      <c r="R9" s="4">
        <f>1-Q9/G9</f>
        <v>-0.28135</v>
      </c>
      <c r="S9" s="3">
        <f>Q9/0.45</f>
        <v>3416933.333333333</v>
      </c>
      <c r="T9" s="3">
        <f>Q9/0.4</f>
        <v>3844050.0</v>
      </c>
      <c r="U9" s="3">
        <f>Q9/0.35</f>
        <v>4393200.0</v>
      </c>
    </row>
    <row r="10" spans="1:21">
      <c r="A10" t="s">
        <v>237</v>
      </c>
      <c r="B10" s="2">
        <v>1</v>
      </c>
      <c r="C10" s="2">
        <v>4</v>
      </c>
      <c r="D10" s="2">
        <v>6</v>
      </c>
      <c r="E10" s="2">
        <v>4</v>
      </c>
      <c r="F10" s="2">
        <v>8</v>
      </c>
      <c r="G10" s="2">
        <v>1500000</v>
      </c>
      <c r="H10" s="2">
        <v>2.25</v>
      </c>
      <c r="I10" s="2">
        <v>45</v>
      </c>
      <c r="J10" s="2">
        <v>0.4</v>
      </c>
      <c r="K10" s="2">
        <v>0.4</v>
      </c>
      <c r="L10" s="2">
        <v>30000</v>
      </c>
      <c r="M10" s="2">
        <v>24000</v>
      </c>
      <c r="N10" s="3">
        <f>C10*D10*(E10*('Inputs'!$B$49+'Inputs'!$B$48)+B10*('Inputs'!$B$47-'Inputs'!$B$48))+C10*F10*150</f>
        <v>37440</v>
      </c>
      <c r="O10" s="3">
        <f>C10*D10*'Inputs'!$B$52*B10</f>
        <v>288</v>
      </c>
      <c r="P10" s="3">
        <f>N10*'Inputs'!$B$50+O10*'Inputs'!$B$51</f>
        <v>986400.0</v>
      </c>
      <c r="Q10" s="3">
        <f>P10*(1+'Inputs'!$B$17)+H10*'Inputs'!$B$8+I10*'Inputs'!$B$11+J10*'Inputs'!$B$13+K10*'Inputs'!$B$15+L10+M10</f>
        <v>1743540.0</v>
      </c>
      <c r="R10" s="4">
        <f>1-Q10/G10</f>
        <v>-0.16236000000000006</v>
      </c>
      <c r="S10" s="3">
        <f>Q10/0.45</f>
        <v>3874533.333333333</v>
      </c>
      <c r="T10" s="3">
        <f>Q10/0.4</f>
        <v>4358850.0</v>
      </c>
      <c r="U10" s="3">
        <f>Q10/0.35</f>
        <v>4981542.857142857</v>
      </c>
    </row>
    <row r="11" spans="1:21">
      <c r="A11" t="s">
        <v>237</v>
      </c>
      <c r="B11" s="2">
        <v>0</v>
      </c>
      <c r="C11" s="2">
        <v>4</v>
      </c>
      <c r="D11" s="2">
        <v>6</v>
      </c>
      <c r="E11" s="2">
        <v>4</v>
      </c>
      <c r="F11" s="2">
        <v>8</v>
      </c>
      <c r="G11" s="2">
        <v>1500000</v>
      </c>
      <c r="H11" s="2">
        <v>2.25</v>
      </c>
      <c r="I11" s="2">
        <v>45</v>
      </c>
      <c r="J11" s="2">
        <v>0.4</v>
      </c>
      <c r="K11" s="2">
        <v>0.4</v>
      </c>
      <c r="L11" s="2">
        <v>30000</v>
      </c>
      <c r="M11" s="2">
        <v>24000</v>
      </c>
      <c r="N11" s="3">
        <f>C11*D11*(E11*('Inputs'!$B$49+'Inputs'!$B$48)+B11*('Inputs'!$B$47-'Inputs'!$B$48))+C11*F11*150</f>
        <v>35520</v>
      </c>
      <c r="O11" s="3">
        <f>C11*D11*'Inputs'!$B$52*B11</f>
        <v>0</v>
      </c>
      <c r="P11" s="3">
        <f>N11*'Inputs'!$B$50+O11*'Inputs'!$B$51</f>
        <v>799200.0</v>
      </c>
      <c r="Q11" s="3">
        <f>P11*(1+'Inputs'!$B$17)+H11*'Inputs'!$B$8+I11*'Inputs'!$B$11+J11*'Inputs'!$B$13+K11*'Inputs'!$B$15+L11+M11</f>
        <v>1537620.0</v>
      </c>
      <c r="R11" s="4">
        <f>1-Q11/G11</f>
        <v>-0.02507999999999999</v>
      </c>
      <c r="S11" s="3">
        <f>Q11/0.45</f>
        <v>3416933.333333333</v>
      </c>
      <c r="T11" s="3">
        <f>Q11/0.4</f>
        <v>3844050.0</v>
      </c>
      <c r="U11" s="3">
        <f>Q11/0.35</f>
        <v>4393200.0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 me</vt:lpstr>
      <vt:lpstr>Inputs</vt:lpstr>
      <vt:lpstr>Annual summary</vt:lpstr>
      <vt:lpstr>Funding and units</vt:lpstr>
      <vt:lpstr>low</vt:lpstr>
      <vt:lpstr>mid</vt:lpstr>
      <vt:lpstr>high</vt:lpstr>
      <vt:lpstr>Programme cadences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Trueness enterprise financial model</dc:title>
  <dc:creator/>
  <cp:lastModifiedBy/>
  <dcterms:created xsi:type="dcterms:W3CDTF">2026-10-25T04:03:42Z</dcterms:created>
  <dcterms:modified xsi:type="dcterms:W3CDTF">2026-10-25T04:03:42Z</dcterms:modified>
</cp:coreProperties>
</file>